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Matched Betting" sheetId="1" r:id="rId1"/>
    <sheet name="Dutching - 2 Tip" sheetId="2" r:id="rId2"/>
    <sheet name="Dutching - 3 Tip" sheetId="3" r:id="rId3"/>
    <sheet name="Combo" sheetId="4" r:id="rId4"/>
    <sheet name="IF oklad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combo_ulog">'Combo'!$C$18</definedName>
    <definedName name="dollar" localSheetId="3">'[11]Saldo'!$A$6</definedName>
    <definedName name="dollar">'[4]Saldo'!$A$6</definedName>
    <definedName name="euro" localSheetId="3">'[11]Saldo'!$A$4</definedName>
    <definedName name="euro">'[4]Saldo'!$A$4</definedName>
    <definedName name="odd1" localSheetId="3">'Combo'!#REF!</definedName>
    <definedName name="odd1" localSheetId="1">'Dutching - 2 Tip'!#REF!</definedName>
    <definedName name="odd1" localSheetId="2">'Dutching - 3 Tip'!#REF!</definedName>
    <definedName name="odd1">#REF!</definedName>
    <definedName name="odd1_ht" localSheetId="3">'Combo'!#REF!</definedName>
    <definedName name="odd1_ht" localSheetId="1">'Dutching - 2 Tip'!#REF!</definedName>
    <definedName name="odd1_ht" localSheetId="2">'Dutching - 3 Tip'!#REF!</definedName>
    <definedName name="odd1_ht">#REF!</definedName>
    <definedName name="odd2" localSheetId="3">'Combo'!#REF!</definedName>
    <definedName name="odd2" localSheetId="1">'Dutching - 2 Tip'!#REF!</definedName>
    <definedName name="odd2" localSheetId="2">'Dutching - 3 Tip'!#REF!</definedName>
    <definedName name="odd2">#REF!</definedName>
    <definedName name="odd2_ht" localSheetId="3">'Combo'!#REF!</definedName>
    <definedName name="odd2_ht" localSheetId="1">'Dutching - 2 Tip'!#REF!</definedName>
    <definedName name="odd2_ht" localSheetId="2">'Dutching - 3 Tip'!#REF!</definedName>
    <definedName name="odd2_ht">#REF!</definedName>
    <definedName name="pound" localSheetId="3">'[11]Saldo'!$A$8</definedName>
    <definedName name="pound">'[4]Saldo'!$A$8</definedName>
    <definedName name="_xlnm.Print_Area" localSheetId="3">'Combo'!#REF!</definedName>
    <definedName name="_xlnm.Print_Area" localSheetId="1">'Dutching - 2 Tip'!#REF!</definedName>
    <definedName name="_xlnm.Print_Area" localSheetId="2">'Dutching - 3 Tip'!#REF!</definedName>
    <definedName name="tečaj" localSheetId="3">'Combo'!#REF!</definedName>
    <definedName name="tečaj" localSheetId="1">'Dutching - 2 Tip'!#REF!</definedName>
    <definedName name="tečaj" localSheetId="2">'Dutching - 3 Tip'!#REF!</definedName>
    <definedName name="tečaj">#REF!</definedName>
    <definedName name="UL_1" localSheetId="3">#REF!</definedName>
    <definedName name="UL_1" localSheetId="0">#REF!</definedName>
    <definedName name="UL_1">#REF!</definedName>
    <definedName name="UL_11" localSheetId="3">#REF!</definedName>
    <definedName name="UL_11" localSheetId="0">#REF!</definedName>
    <definedName name="UL_11">#REF!</definedName>
    <definedName name="UL_2" localSheetId="3">#REF!</definedName>
    <definedName name="UL_2" localSheetId="0">#REF!</definedName>
    <definedName name="UL_2">#REF!</definedName>
    <definedName name="UL_3" localSheetId="3">#REF!</definedName>
    <definedName name="UL_3" localSheetId="0">#REF!</definedName>
    <definedName name="UL_3">#REF!</definedName>
    <definedName name="ul_4" localSheetId="3">#REF!</definedName>
    <definedName name="ul_4" localSheetId="0">#REF!</definedName>
    <definedName name="ul_4">#REF!</definedName>
    <definedName name="uplata" localSheetId="3">'[8]Uplate'!$C$272</definedName>
    <definedName name="uplata" localSheetId="0">'[5]Uplate'!$C$272</definedName>
    <definedName name="uplata">'[1]Uplate'!$C$272</definedName>
    <definedName name="uplata_usd" localSheetId="3">'[8]Uplate'!$D$272</definedName>
    <definedName name="uplata_usd" localSheetId="0">'[5]Uplate'!$D$272</definedName>
    <definedName name="uplata_usd">'[1]Uplate'!$D$272</definedName>
    <definedName name="usd" localSheetId="3">'Combo'!#REF!</definedName>
    <definedName name="usd" localSheetId="1">'Dutching - 2 Tip'!#REF!</definedName>
    <definedName name="usd" localSheetId="2">'Dutching - 3 Tip'!#REF!</definedName>
    <definedName name="val1" localSheetId="3">'Combo'!#REF!</definedName>
    <definedName name="val1" localSheetId="1">'Dutching - 2 Tip'!#REF!</definedName>
    <definedName name="val1" localSheetId="2">'Dutching - 3 Tip'!#REF!</definedName>
    <definedName name="val1">#REF!</definedName>
    <definedName name="val2" localSheetId="3">'Combo'!#REF!</definedName>
    <definedName name="val2" localSheetId="1">'Dutching - 2 Tip'!#REF!</definedName>
    <definedName name="val2" localSheetId="2">'Dutching - 3 Tip'!#REF!</definedName>
    <definedName name="val2">#REF!</definedName>
    <definedName name="vanjasys" localSheetId="3">#REF!</definedName>
    <definedName name="vanjasys" localSheetId="0">#REF!</definedName>
    <definedName name="vanjasys">#REF!</definedName>
  </definedNames>
  <calcPr fullCalcOnLoad="1"/>
</workbook>
</file>

<file path=xl/sharedStrings.xml><?xml version="1.0" encoding="utf-8"?>
<sst xmlns="http://schemas.openxmlformats.org/spreadsheetml/2006/main" count="272" uniqueCount="195">
  <si>
    <t>InNOT 0-0</t>
  </si>
  <si>
    <t>BUNUS (MONEY BACK)</t>
  </si>
  <si>
    <t>Stvarna vrijednost</t>
  </si>
  <si>
    <t>Iskoristivost bonusa</t>
  </si>
  <si>
    <t>oklada 1</t>
  </si>
  <si>
    <t>oklada 2</t>
  </si>
  <si>
    <t>oklada 3</t>
  </si>
  <si>
    <t>DVOZNAK</t>
  </si>
  <si>
    <t>tip X</t>
  </si>
  <si>
    <t>tip 1 ili 2</t>
  </si>
  <si>
    <t>Backer's Stake</t>
  </si>
  <si>
    <t>A K U M U L A T O R   K A L K U L A T O R</t>
  </si>
  <si>
    <t>ulog</t>
  </si>
  <si>
    <t>isplata</t>
  </si>
  <si>
    <t>oklada 4</t>
  </si>
  <si>
    <t>oklada 5</t>
  </si>
  <si>
    <t>oklada 6</t>
  </si>
  <si>
    <t>real. koef.</t>
  </si>
  <si>
    <t>kontra koef.</t>
  </si>
  <si>
    <t>tečajevi</t>
  </si>
  <si>
    <t>prolaska oklade na kladionici gdje se ulaže combo.</t>
  </si>
  <si>
    <t>combo tečaj</t>
  </si>
  <si>
    <t>uloženo</t>
  </si>
  <si>
    <t>info ulog</t>
  </si>
  <si>
    <t>info profit</t>
  </si>
  <si>
    <t>POTREBAN ULOG:</t>
  </si>
  <si>
    <t>D V O Z N A K   K A L K U L A T O R</t>
  </si>
  <si>
    <t>Preporučljivo je uvijek uložiti manje od idealnog kako bi se osigurao što bolji realan koeficijent u slučaju</t>
  </si>
  <si>
    <t>Info ulog i info profit su idealno izračunate vrijednosti kod kojih se ostvaruje jednak profit bez obzira na ishod.</t>
  </si>
  <si>
    <t>ISPLATA</t>
  </si>
  <si>
    <t xml:space="preserve">Kalkulator je napravljen na bazi samo jedinstvene kontraoklade (za događaj sa samo dva moguća ishoda).  </t>
  </si>
  <si>
    <r>
      <t xml:space="preserve">Ako kontraokladu treba uložiti na dva ishoda za izračun kontra tečaja i potrebnih uloga koristiti </t>
    </r>
    <r>
      <rPr>
        <b/>
        <sz val="12"/>
        <rFont val="Arial"/>
        <family val="2"/>
      </rPr>
      <t>dvoznak kalkulator</t>
    </r>
    <r>
      <rPr>
        <sz val="12"/>
        <rFont val="Arial"/>
        <family val="2"/>
      </rPr>
      <t>.</t>
    </r>
  </si>
  <si>
    <t>LAY KONVERTER</t>
  </si>
  <si>
    <t>lay tečaj</t>
  </si>
  <si>
    <t>provizija</t>
  </si>
  <si>
    <t>profit kontra</t>
  </si>
  <si>
    <t>profit combo</t>
  </si>
  <si>
    <t>total ulog</t>
  </si>
  <si>
    <t>Preračunati tečaj u Back obliku</t>
  </si>
  <si>
    <t>Stvarni preračunati tečaj (umanjen za proviziju)</t>
  </si>
  <si>
    <t>Ulog koji namjeravate uplatiti prema kalkulatoru</t>
  </si>
  <si>
    <t>konvenc. tečaj</t>
  </si>
  <si>
    <t>realni tečaj</t>
  </si>
  <si>
    <t>Iznos koji morate uplatiti na tip 1 ili 2</t>
  </si>
  <si>
    <t>Iznos koji morate uplatiti na tip X</t>
  </si>
  <si>
    <t>Kod kombinacijskih oklada potrebno je protuoklade uplaćivati jednu nakon druge. Odaberite utakmice koje se igraju</t>
  </si>
  <si>
    <t xml:space="preserve">u različita vremena kako bi po potrebi mogli uplatiti sljedeću protuokladu. </t>
  </si>
  <si>
    <t>CILJANA VRIJEDNOST</t>
  </si>
  <si>
    <t>Besplatna oklada</t>
  </si>
  <si>
    <t>Oklada 1</t>
  </si>
  <si>
    <t>Oklada 2</t>
  </si>
  <si>
    <t>Oklada 3</t>
  </si>
  <si>
    <t>Isplata dobitka</t>
  </si>
  <si>
    <t>U K U P N I   U L O G</t>
  </si>
  <si>
    <t>F R E E   B E T   K A L K U L A T O R</t>
  </si>
  <si>
    <t>(Američki sportovi, tenis, azijski hendikep, over/under i sl.)</t>
  </si>
  <si>
    <t>(Nogomet, hokej na ledu - 60 min i slično)</t>
  </si>
  <si>
    <t>Betfair ulog</t>
  </si>
  <si>
    <t>Ulog B</t>
  </si>
  <si>
    <t>Tečajevi</t>
  </si>
  <si>
    <t>Ulog</t>
  </si>
  <si>
    <t>Glavna oklada</t>
  </si>
  <si>
    <t>Protuoklada</t>
  </si>
  <si>
    <t xml:space="preserve">Izračun uloga kod utakmica i mečeva sa samo 2 moguća ishoda. </t>
  </si>
  <si>
    <t>PINNACLE</t>
  </si>
  <si>
    <t>Kladionice za Dutching:</t>
  </si>
  <si>
    <t>Upišete iznos tečajeva za glavnu okladu i protuokladu, te upišite željeni ulog na glavnu okladu</t>
  </si>
  <si>
    <r>
      <t xml:space="preserve">U stupcu </t>
    </r>
    <r>
      <rPr>
        <b/>
        <sz val="12"/>
        <rFont val="Arial"/>
        <family val="2"/>
      </rPr>
      <t>Ulog B</t>
    </r>
    <r>
      <rPr>
        <sz val="12"/>
        <rFont val="Arial"/>
        <family val="2"/>
      </rPr>
      <t xml:space="preserve"> možete upisati korigiranu vrijednost protuoklade</t>
    </r>
  </si>
  <si>
    <t xml:space="preserve"> - kalkulator izračunava ukupne dobitke i profit zavisno od rezultata</t>
  </si>
  <si>
    <t xml:space="preserve"> - kalkulator izračunava potreban iznos protuoklade, ukupne dobitke i profit zavisno od ishoda</t>
  </si>
  <si>
    <t>D U T C H I N G    K A L K U L A T O R</t>
  </si>
  <si>
    <t>Isplata  dobitka</t>
  </si>
  <si>
    <t>Ukupni  ulog</t>
  </si>
  <si>
    <t>Profit - Besplatna oklada</t>
  </si>
  <si>
    <t>Profit - Glavna oklada</t>
  </si>
  <si>
    <t>Profit - Protuoklada</t>
  </si>
  <si>
    <t>Dobitak - Glavna okladu</t>
  </si>
  <si>
    <t>Dobitak - Protuoklada</t>
  </si>
  <si>
    <t xml:space="preserve">Izračun uloga kod utakmica i mečeva sa 3 moguća ishoda. </t>
  </si>
  <si>
    <t>Protuoklada 1</t>
  </si>
  <si>
    <t>Protuoklada 2</t>
  </si>
  <si>
    <t>Profit -  Besplatna oklada</t>
  </si>
  <si>
    <t>Profit - Protuoklada 1</t>
  </si>
  <si>
    <t>Profit -  Protuoklada 2</t>
  </si>
  <si>
    <t>Ulog 1</t>
  </si>
  <si>
    <t>Ulog 2</t>
  </si>
  <si>
    <t>Ulog 3</t>
  </si>
  <si>
    <t>Upišite iznos tečajeva na sva 3 moguća ishoda i iznos ciljane vrijednosti (ukupnog uloga)</t>
  </si>
  <si>
    <t>- kalkulator izračunava potrebne uloge za ostale kladionice i ukupni profit</t>
  </si>
  <si>
    <r>
      <t xml:space="preserve">U stupce </t>
    </r>
    <r>
      <rPr>
        <b/>
        <sz val="12"/>
        <rFont val="Arial"/>
        <family val="2"/>
      </rPr>
      <t>Ulog 1,2 i 3</t>
    </r>
    <r>
      <rPr>
        <sz val="12"/>
        <rFont val="Arial"/>
        <family val="2"/>
      </rPr>
      <t xml:space="preserve"> možete upisati prilagođenu vrijednost uloga po kladionicama</t>
    </r>
  </si>
  <si>
    <t>- kalkulator izračunava potrebnu vrijednost uloga za svaku kladionicu, te iznos profita</t>
  </si>
  <si>
    <t>P R O F I T</t>
  </si>
  <si>
    <t>%  P R O F I T</t>
  </si>
  <si>
    <t>Ulog C</t>
  </si>
  <si>
    <t>Besplatnu okladu moguće je odigrati i na događaj s 3 ishoda</t>
  </si>
  <si>
    <t>U polja Ulog B i Ulog C možete upisati korigirane vrijednosti protuoklada</t>
  </si>
  <si>
    <t>Free bet</t>
  </si>
  <si>
    <r>
      <t xml:space="preserve">U polje </t>
    </r>
    <r>
      <rPr>
        <b/>
        <sz val="12"/>
        <rFont val="Arial"/>
        <family val="2"/>
      </rPr>
      <t>Free bet</t>
    </r>
    <r>
      <rPr>
        <sz val="12"/>
        <rFont val="Arial"/>
        <family val="2"/>
      </rPr>
      <t xml:space="preserve"> upišite iznos besplatne oklade - kalkulator izračunava iznose protuoklada</t>
    </r>
  </si>
  <si>
    <r>
      <t xml:space="preserve">U polje </t>
    </r>
    <r>
      <rPr>
        <b/>
        <sz val="12"/>
        <rFont val="Arial"/>
        <family val="2"/>
      </rPr>
      <t>Free bet</t>
    </r>
    <r>
      <rPr>
        <sz val="12"/>
        <rFont val="Arial"/>
        <family val="2"/>
      </rPr>
      <t xml:space="preserve"> upišite iznos besplatne oklade - kalkulator izračunava iznos protuoklade</t>
    </r>
  </si>
  <si>
    <r>
      <t xml:space="preserve">U polje </t>
    </r>
    <r>
      <rPr>
        <b/>
        <sz val="12"/>
        <rFont val="Arial"/>
        <family val="2"/>
      </rPr>
      <t>Ulog B</t>
    </r>
    <r>
      <rPr>
        <sz val="12"/>
        <rFont val="Arial"/>
        <family val="2"/>
      </rPr>
      <t xml:space="preserve"> možete upisati korigirani iznos protuoklade</t>
    </r>
  </si>
  <si>
    <t>Tečaj</t>
  </si>
  <si>
    <t>Tečaj na kladionici</t>
  </si>
  <si>
    <t>Iznos uloga na kladionici</t>
  </si>
  <si>
    <t>betfair</t>
  </si>
  <si>
    <t>BETDAQ</t>
  </si>
  <si>
    <t>Iznos besplatne oklade</t>
  </si>
  <si>
    <t>MATCHED  BETTING   KALKULATOR</t>
  </si>
  <si>
    <t>MATCHBOOK</t>
  </si>
  <si>
    <t>SMARKETS</t>
  </si>
  <si>
    <t>Kalkulator vrijedi za:</t>
  </si>
  <si>
    <t>New Lay Stake</t>
  </si>
  <si>
    <t>New Lay Return</t>
  </si>
  <si>
    <t>New Lay Risk</t>
  </si>
  <si>
    <t>Back Return</t>
  </si>
  <si>
    <t>Lay Odds</t>
  </si>
  <si>
    <t>Lay Risk</t>
  </si>
  <si>
    <t>If 0-0</t>
  </si>
  <si>
    <t>Corrected Lay Stake</t>
  </si>
  <si>
    <t>Lay Loss on Qualifier</t>
  </si>
  <si>
    <t>Max Qualifier Loss</t>
  </si>
  <si>
    <t>If Not 0-0</t>
  </si>
  <si>
    <t>Min Qualifier Loss</t>
  </si>
  <si>
    <t>Back Loss on qualifier</t>
  </si>
  <si>
    <t>Lay Return</t>
  </si>
  <si>
    <t>Back Profit</t>
  </si>
  <si>
    <t>Lay Stake</t>
  </si>
  <si>
    <t>UVJETNA OKLADA</t>
  </si>
  <si>
    <t>KVALIFIKACIJSKA OKLADA</t>
  </si>
  <si>
    <t>Maksimalna zarada na Betting Exchange</t>
  </si>
  <si>
    <t>Maksimalna zarada na kladionici</t>
  </si>
  <si>
    <t>Lay tečaj na uvjetnu okladu</t>
  </si>
  <si>
    <t>Uvjet prolazi</t>
  </si>
  <si>
    <t>Uvjet ne prolazi</t>
  </si>
  <si>
    <t>Ulog na Bet. Exchange</t>
  </si>
  <si>
    <t>Ulog na B.E.</t>
  </si>
  <si>
    <t>Total B.E. ulog</t>
  </si>
  <si>
    <t>Backer's Stake po izboru</t>
  </si>
  <si>
    <t>Upišite iznos po vašem izboru</t>
  </si>
  <si>
    <t>Ako očekujete da su male šanse za prolaz uvjetne oklade možete odigrati tako da u slučaju pada uvjetne oklade ostvarite maksimalnu zaradu na bet. exchange, a u slučaju prolaza uvjetne oklade ne ostvarujete nikekvu zaradu, ali niti gubitak</t>
  </si>
  <si>
    <t>Potrebni ulozi u slučaju da želite ostvariti jednaku zaradu bez obzira na konačan ishod događaja</t>
  </si>
  <si>
    <t>Ulozi ako želite ostvariti maksimalnu zaradu u slučaju prolaza uvjetne oklade. U ovom slučaju na bet. exchange ne ostvarujete nikakvu zaradu, ali je moguće ostvariti potencijalno najveću zaradu na kladionici</t>
  </si>
  <si>
    <t>Ovdje možete sami odrediti iznos uloga na bet. exchange. Ovo je riskantna opcija jer u slučaju prolaza uvjetne oklade možete ostvariti gubitak, ali inajveću zaradu na bet. exchange</t>
  </si>
  <si>
    <t>Kalkulator za tzv. Uvjetne ponude kod kojih kladionica nudi bonus u slučaju prolaska određenog događaja tj. uvjeta na utakmici.</t>
  </si>
  <si>
    <t>Isplativije što je niži lay tečaj uvjetne oklade!</t>
  </si>
  <si>
    <t>Kvalifikacijsku okladu igrati samo na događaj koji isključuje mogućnost da prođu kvalifikacijska i uvjetna oklada!</t>
  </si>
  <si>
    <t>Kvalifikacijska oklada</t>
  </si>
  <si>
    <t>Uvjetna oklada</t>
  </si>
  <si>
    <t>Oklada koju je potrebno odigrati da bi se dobio eventualni bonus ili povrat uloga</t>
  </si>
  <si>
    <t>Max. iznos bonusa</t>
  </si>
  <si>
    <t>Maksimalni iznos bonusa ili povrata koji je moguće dobiti</t>
  </si>
  <si>
    <t>iskoristivost bonusa</t>
  </si>
  <si>
    <t>Ako se bonus isplaćuje u obliku Free beta vrlo je vjerojatno da neće biti moguće iskoristiti svu vrijednost bonusa. Sami procijenite iskoristivost</t>
  </si>
  <si>
    <t>Kladionica obično postavlja neki uvjet za isplatu bonusa. Da bi se ostvarila sigurna zarada potrebno je odigrati Lay okladu na taj uvjet</t>
  </si>
  <si>
    <t>Stvarna vrijednost bonusa</t>
  </si>
  <si>
    <t>Zavisi od procijenjene iskoristivosti bonusa</t>
  </si>
  <si>
    <t>Ukupni ulog koji je potrebno uplatiti na betting exchange - zbroj uloga na kvalifikacijskoj i uvjetnoj okladi</t>
  </si>
  <si>
    <t>Lay tečaj</t>
  </si>
  <si>
    <t>Provizija bet. exch. (%)</t>
  </si>
  <si>
    <t>Jednaka zarada na kladionici i na bet. exchange</t>
  </si>
  <si>
    <t>Izračun uloga za odigravanje SNR free bet oklada</t>
  </si>
  <si>
    <t>Kalkulator za izračun Lay oklade na Betting Exchange</t>
  </si>
  <si>
    <t>Saldo oklade</t>
  </si>
  <si>
    <t>Exchange Lay tečaj</t>
  </si>
  <si>
    <t>Lay tečaj na Betting Exchange</t>
  </si>
  <si>
    <t>Exchange provizija</t>
  </si>
  <si>
    <t>Iznos provizije na Betting Exchange</t>
  </si>
  <si>
    <t>Isplata u slučaju prolaza na kladionici</t>
  </si>
  <si>
    <t>Profit iz Free bet oklade</t>
  </si>
  <si>
    <t>Upisati u polje Backer's Stake na Exchange</t>
  </si>
  <si>
    <t>Iznos uloga na Betting Exchange</t>
  </si>
  <si>
    <t>Koristiti za sigurno klađenje između obične kladionice i Bett. Exchange</t>
  </si>
  <si>
    <t>Tečaj dostupan na Betting Exchange</t>
  </si>
  <si>
    <t>Provizija koju plaćate Betfting Exchange</t>
  </si>
  <si>
    <t>Iznos koji unosite u polje Backer's Stake na Betting Exchange</t>
  </si>
  <si>
    <r>
      <t xml:space="preserve">Ako se kontraoklada uplaćuje na Betting Exchange (lay oklada) koristiti </t>
    </r>
    <r>
      <rPr>
        <b/>
        <sz val="12"/>
        <rFont val="Arial"/>
        <family val="2"/>
      </rPr>
      <t>lay konverter.</t>
    </r>
  </si>
  <si>
    <r>
      <t xml:space="preserve">Kod besplatnih oklada ponekad se isplati odigrati </t>
    </r>
    <r>
      <rPr>
        <b/>
        <sz val="10"/>
        <rFont val="Arial"/>
        <family val="2"/>
      </rPr>
      <t>UNDERLAY</t>
    </r>
    <r>
      <rPr>
        <sz val="10"/>
        <rFont val="Arial"/>
        <family val="2"/>
      </rPr>
      <t xml:space="preserve"> tj. smanjiti ulog protuoklade - u slučaju prolaza protuoklade ostvariti ćete nešto manji profit, ali ćete zato u slučaju prolaza besplatne oklade ostvariti znatno veći profit!</t>
    </r>
  </si>
  <si>
    <t>Izračun uloga za odigravanje SNR free bet oklada dutching metodom</t>
  </si>
  <si>
    <t>SR Free bet profit</t>
  </si>
  <si>
    <t>Free bet profit</t>
  </si>
  <si>
    <t>Izračun uloga za odigravanje SNR Free bet oklada</t>
  </si>
  <si>
    <r>
      <t xml:space="preserve">i za odigravanje </t>
    </r>
    <r>
      <rPr>
        <b/>
        <sz val="12"/>
        <rFont val="Arial MT"/>
        <family val="0"/>
      </rPr>
      <t>SR Free bet ponuda</t>
    </r>
  </si>
  <si>
    <t>Samo u slučaju SR Free bet oklade!</t>
  </si>
  <si>
    <t>Saldo dobitka/gubitka</t>
  </si>
  <si>
    <t>Backers stake</t>
  </si>
  <si>
    <r>
      <t>Bonus Majstori</t>
    </r>
    <r>
      <rPr>
        <b/>
        <sz val="32"/>
        <color indexed="12"/>
        <rFont val="Alba"/>
        <family val="0"/>
      </rPr>
      <t xml:space="preserve"> </t>
    </r>
    <r>
      <rPr>
        <b/>
        <sz val="10"/>
        <color indexed="12"/>
        <rFont val="Alba"/>
        <family val="0"/>
      </rPr>
      <t xml:space="preserve">                              </t>
    </r>
    <r>
      <rPr>
        <b/>
        <sz val="14"/>
        <color indexed="9"/>
        <rFont val="Alba"/>
        <family val="0"/>
      </rPr>
      <t>jedino s nama do sigurne zarade na kladionici</t>
    </r>
  </si>
  <si>
    <r>
      <t>Bonus Majstori</t>
    </r>
    <r>
      <rPr>
        <b/>
        <sz val="32"/>
        <color indexed="12"/>
        <rFont val="Alba"/>
        <family val="0"/>
      </rPr>
      <t xml:space="preserve"> </t>
    </r>
    <r>
      <rPr>
        <b/>
        <sz val="10"/>
        <color indexed="12"/>
        <rFont val="Alba"/>
        <family val="0"/>
      </rPr>
      <t xml:space="preserve">                                                  </t>
    </r>
    <r>
      <rPr>
        <b/>
        <sz val="12"/>
        <color indexed="9"/>
        <rFont val="Alba"/>
        <family val="0"/>
      </rPr>
      <t xml:space="preserve"> </t>
    </r>
    <r>
      <rPr>
        <b/>
        <sz val="16"/>
        <color indexed="9"/>
        <rFont val="Alba"/>
        <family val="0"/>
      </rPr>
      <t>jedino s nama do sigurne zarade na kladionici</t>
    </r>
  </si>
  <si>
    <t>DUTCHING FREE BET KALKULATOR</t>
  </si>
  <si>
    <t>3 T I P   D U T C H I N G   K A L K U L A T O R</t>
  </si>
  <si>
    <t>3 T I P   F R E E   B E T   K A L K U L A T O R</t>
  </si>
  <si>
    <t>Exchange ulog</t>
  </si>
  <si>
    <t>SBOBET</t>
  </si>
  <si>
    <t>ASIANODDS</t>
  </si>
  <si>
    <t>HR tečaj</t>
  </si>
  <si>
    <t>Stvarni tečaj</t>
  </si>
  <si>
    <t>HR KONVERZIJA</t>
  </si>
</sst>
</file>

<file path=xl/styles.xml><?xml version="1.0" encoding="utf-8"?>
<styleSheet xmlns="http://schemas.openxmlformats.org/spreadsheetml/2006/main">
  <numFmts count="6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;[Red]\-#,##0.00\ [$€-1]"/>
    <numFmt numFmtId="165" formatCode="#,##0\ [$€-1];[Red]\-#,##0\ [$€-1]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#,##0.00\ [$€-1]"/>
    <numFmt numFmtId="170" formatCode="0.0%"/>
    <numFmt numFmtId="171" formatCode="0.000"/>
    <numFmt numFmtId="172" formatCode="#,##0.000"/>
    <numFmt numFmtId="173" formatCode="0.0000"/>
    <numFmt numFmtId="174" formatCode="[$$-409]#,##0.00"/>
    <numFmt numFmtId="175" formatCode="0.000%"/>
    <numFmt numFmtId="176" formatCode="0.0"/>
    <numFmt numFmtId="177" formatCode="#,##0.000000"/>
    <numFmt numFmtId="178" formatCode="[$$-C09]#,##0.00"/>
    <numFmt numFmtId="179" formatCode="mmm/yyyy"/>
    <numFmt numFmtId="180" formatCode="d\-mmm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00"/>
    <numFmt numFmtId="190" formatCode="#,##0.00000"/>
    <numFmt numFmtId="191" formatCode="#,##0.0"/>
    <numFmt numFmtId="192" formatCode="#,##0.00\ &quot;kn&quot;"/>
    <numFmt numFmtId="193" formatCode="m/d"/>
    <numFmt numFmtId="194" formatCode="0.0E+00"/>
    <numFmt numFmtId="195" formatCode="0E+00"/>
    <numFmt numFmtId="196" formatCode="d/m/"/>
    <numFmt numFmtId="197" formatCode="[$€-2]\ #,##0.00"/>
    <numFmt numFmtId="198" formatCode="dd/mm/yy/"/>
    <numFmt numFmtId="199" formatCode="d\-mmm\-yy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&quot;£&quot;#,##0.00_);\(&quot;£&quot;#,##0.00\)"/>
    <numFmt numFmtId="209" formatCode="d/mm/yy"/>
    <numFmt numFmtId="210" formatCode="&quot;£&quot;#,##0.00"/>
    <numFmt numFmtId="211" formatCode="#,##0\ [$€-42D];[Red]\-#,##0\ [$€-42D]"/>
    <numFmt numFmtId="212" formatCode="[$-41A]d\.\ mmmm\ yyyy"/>
    <numFmt numFmtId="213" formatCode="[$-41A]d\-mmm;@"/>
    <numFmt numFmtId="214" formatCode="[$$-1009]#,##0.00"/>
    <numFmt numFmtId="215" formatCode="#,##0.00_ ;[Red]\-#,##0.00\ "/>
    <numFmt numFmtId="216" formatCode="#,##0.00;[Red]#,##0.00"/>
    <numFmt numFmtId="217" formatCode="[$€-2]\ #,##0.00_);[Red]\([$€-2]\ #,##0.00\)"/>
    <numFmt numFmtId="218" formatCode="0.00_ ;[Red]\-0.00\ "/>
    <numFmt numFmtId="219" formatCode="0.0_ ;[Red]\-0.0\ "/>
    <numFmt numFmtId="220" formatCode="#,##0.0000000000000"/>
    <numFmt numFmtId="221" formatCode="#,##0.0000000"/>
    <numFmt numFmtId="222" formatCode="_-* #,##0_-;\-* #,##0_-;_-* &quot;-&quot;??_-;_-@_-"/>
    <numFmt numFmtId="223" formatCode="_-* #,##0.00000_-;\-* #,##0.00000_-;_-* &quot;-&quot;??_-;_-@_-"/>
    <numFmt numFmtId="224" formatCode="#,##0.00_ ;\-#,##0.00\ 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MT"/>
      <family val="0"/>
    </font>
    <font>
      <b/>
      <sz val="12"/>
      <name val="Arial MT"/>
      <family val="0"/>
    </font>
    <font>
      <b/>
      <sz val="14"/>
      <name val="Arial"/>
      <family val="2"/>
    </font>
    <font>
      <b/>
      <sz val="14"/>
      <name val="Arial MT"/>
      <family val="0"/>
    </font>
    <font>
      <b/>
      <sz val="14"/>
      <color indexed="9"/>
      <name val="Arial"/>
      <family val="2"/>
    </font>
    <font>
      <sz val="10"/>
      <name val="Arial MT"/>
      <family val="0"/>
    </font>
    <font>
      <b/>
      <sz val="14"/>
      <color indexed="53"/>
      <name val="Arial"/>
      <family val="2"/>
    </font>
    <font>
      <b/>
      <sz val="10"/>
      <name val="Arial MT"/>
      <family val="0"/>
    </font>
    <font>
      <b/>
      <sz val="12"/>
      <color indexed="10"/>
      <name val="Arial MT"/>
      <family val="0"/>
    </font>
    <font>
      <b/>
      <sz val="10"/>
      <color indexed="10"/>
      <name val="Arial MT"/>
      <family val="0"/>
    </font>
    <font>
      <b/>
      <sz val="32"/>
      <color indexed="12"/>
      <name val="Alba"/>
      <family val="0"/>
    </font>
    <font>
      <b/>
      <sz val="10"/>
      <color indexed="12"/>
      <name val="Alba"/>
      <family val="0"/>
    </font>
    <font>
      <b/>
      <sz val="14"/>
      <color indexed="9"/>
      <name val="Alba"/>
      <family val="0"/>
    </font>
    <font>
      <b/>
      <sz val="32"/>
      <color indexed="13"/>
      <name val="Alba"/>
      <family val="0"/>
    </font>
    <font>
      <b/>
      <sz val="10"/>
      <color indexed="12"/>
      <name val="Arial"/>
      <family val="2"/>
    </font>
    <font>
      <b/>
      <sz val="12"/>
      <color indexed="9"/>
      <name val="Alba"/>
      <family val="0"/>
    </font>
    <font>
      <b/>
      <sz val="16"/>
      <color indexed="9"/>
      <name val="Alba"/>
      <family val="0"/>
    </font>
    <font>
      <b/>
      <sz val="22"/>
      <color indexed="9"/>
      <name val="Lucida Console"/>
      <family val="3"/>
    </font>
    <font>
      <b/>
      <sz val="18"/>
      <color indexed="9"/>
      <name val="Futura Md BT"/>
      <family val="2"/>
    </font>
    <font>
      <b/>
      <sz val="28"/>
      <name val="AvantGarde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9"/>
      <name val="Garamond"/>
      <family val="1"/>
    </font>
    <font>
      <b/>
      <sz val="16"/>
      <color indexed="63"/>
      <name val="Segoe UI Emoj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Garamond"/>
      <family val="1"/>
    </font>
    <font>
      <b/>
      <sz val="16"/>
      <color theme="1" tint="0.34999001026153564"/>
      <name val="Segoe UI Emoj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fgColor indexed="8"/>
        <bgColor indexed="41"/>
      </patternFill>
    </fill>
    <fill>
      <patternFill patternType="solid">
        <fgColor indexed="42"/>
        <bgColor indexed="64"/>
      </patternFill>
    </fill>
    <fill>
      <patternFill patternType="gray125">
        <fgColor indexed="8"/>
        <bgColor indexed="22"/>
      </patternFill>
    </fill>
    <fill>
      <patternFill patternType="gray125">
        <fgColor indexed="8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8"/>
        <bgColor indexed="41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indexed="8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3" fillId="34" borderId="12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173" fontId="4" fillId="33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58">
      <alignment/>
      <protection/>
    </xf>
    <xf numFmtId="2" fontId="3" fillId="0" borderId="0" xfId="0" applyNumberFormat="1" applyFont="1" applyAlignment="1">
      <alignment/>
    </xf>
    <xf numFmtId="2" fontId="3" fillId="34" borderId="11" xfId="0" applyNumberFormat="1" applyFont="1" applyFill="1" applyBorder="1" applyAlignment="1" applyProtection="1">
      <alignment horizontal="center"/>
      <protection locked="0"/>
    </xf>
    <xf numFmtId="189" fontId="3" fillId="33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 applyProtection="1">
      <alignment/>
      <protection locked="0"/>
    </xf>
    <xf numFmtId="176" fontId="3" fillId="34" borderId="18" xfId="0" applyNumberFormat="1" applyFont="1" applyFill="1" applyBorder="1" applyAlignment="1" applyProtection="1">
      <alignment/>
      <protection locked="0"/>
    </xf>
    <xf numFmtId="4" fontId="4" fillId="33" borderId="18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0" fontId="3" fillId="33" borderId="19" xfId="61" applyNumberFormat="1" applyFont="1" applyFill="1" applyBorder="1" applyAlignment="1">
      <alignment/>
    </xf>
    <xf numFmtId="10" fontId="3" fillId="33" borderId="13" xfId="61" applyNumberFormat="1" applyFont="1" applyFill="1" applyBorder="1" applyAlignment="1">
      <alignment/>
    </xf>
    <xf numFmtId="10" fontId="3" fillId="33" borderId="14" xfId="61" applyNumberFormat="1" applyFont="1" applyFill="1" applyBorder="1" applyAlignment="1">
      <alignment/>
    </xf>
    <xf numFmtId="171" fontId="3" fillId="34" borderId="11" xfId="0" applyNumberFormat="1" applyFont="1" applyFill="1" applyBorder="1" applyAlignment="1" applyProtection="1">
      <alignment/>
      <protection locked="0"/>
    </xf>
    <xf numFmtId="171" fontId="3" fillId="34" borderId="14" xfId="0" applyNumberFormat="1" applyFont="1" applyFill="1" applyBorder="1" applyAlignment="1" applyProtection="1">
      <alignment/>
      <protection locked="0"/>
    </xf>
    <xf numFmtId="4" fontId="4" fillId="33" borderId="20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2" fontId="4" fillId="33" borderId="14" xfId="61" applyNumberFormat="1" applyFont="1" applyFill="1" applyBorder="1" applyAlignment="1">
      <alignment/>
    </xf>
    <xf numFmtId="0" fontId="5" fillId="36" borderId="22" xfId="0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/>
    </xf>
    <xf numFmtId="4" fontId="7" fillId="33" borderId="24" xfId="58" applyNumberFormat="1" applyFont="1" applyFill="1" applyBorder="1" applyProtection="1">
      <alignment/>
      <protection/>
    </xf>
    <xf numFmtId="0" fontId="5" fillId="36" borderId="17" xfId="0" applyFont="1" applyFill="1" applyBorder="1" applyAlignment="1">
      <alignment horizontal="right"/>
    </xf>
    <xf numFmtId="0" fontId="4" fillId="36" borderId="25" xfId="0" applyFont="1" applyFill="1" applyBorder="1" applyAlignment="1">
      <alignment horizontal="right"/>
    </xf>
    <xf numFmtId="0" fontId="4" fillId="36" borderId="26" xfId="0" applyFont="1" applyFill="1" applyBorder="1" applyAlignment="1">
      <alignment horizontal="right"/>
    </xf>
    <xf numFmtId="0" fontId="4" fillId="36" borderId="27" xfId="0" applyFont="1" applyFill="1" applyBorder="1" applyAlignment="1">
      <alignment horizontal="right"/>
    </xf>
    <xf numFmtId="4" fontId="3" fillId="34" borderId="11" xfId="0" applyNumberFormat="1" applyFont="1" applyFill="1" applyBorder="1" applyAlignment="1" applyProtection="1">
      <alignment/>
      <protection locked="0"/>
    </xf>
    <xf numFmtId="4" fontId="3" fillId="33" borderId="14" xfId="0" applyNumberFormat="1" applyFont="1" applyFill="1" applyBorder="1" applyAlignment="1">
      <alignment/>
    </xf>
    <xf numFmtId="4" fontId="3" fillId="34" borderId="14" xfId="0" applyNumberFormat="1" applyFont="1" applyFill="1" applyBorder="1" applyAlignment="1" applyProtection="1">
      <alignment/>
      <protection locked="0"/>
    </xf>
    <xf numFmtId="4" fontId="3" fillId="34" borderId="21" xfId="0" applyNumberFormat="1" applyFont="1" applyFill="1" applyBorder="1" applyAlignment="1" applyProtection="1">
      <alignment/>
      <protection locked="0"/>
    </xf>
    <xf numFmtId="4" fontId="3" fillId="33" borderId="28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37" borderId="11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5" fillId="35" borderId="17" xfId="0" applyFont="1" applyFill="1" applyBorder="1" applyAlignment="1">
      <alignment horizontal="right"/>
    </xf>
    <xf numFmtId="0" fontId="4" fillId="35" borderId="25" xfId="0" applyFont="1" applyFill="1" applyBorder="1" applyAlignment="1">
      <alignment horizontal="right"/>
    </xf>
    <xf numFmtId="0" fontId="4" fillId="35" borderId="26" xfId="0" applyFont="1" applyFill="1" applyBorder="1" applyAlignment="1">
      <alignment horizontal="right"/>
    </xf>
    <xf numFmtId="0" fontId="5" fillId="35" borderId="18" xfId="0" applyFont="1" applyFill="1" applyBorder="1" applyAlignment="1">
      <alignment horizontal="right"/>
    </xf>
    <xf numFmtId="2" fontId="4" fillId="38" borderId="15" xfId="0" applyNumberFormat="1" applyFont="1" applyFill="1" applyBorder="1" applyAlignment="1">
      <alignment/>
    </xf>
    <xf numFmtId="2" fontId="4" fillId="38" borderId="21" xfId="0" applyNumberFormat="1" applyFont="1" applyFill="1" applyBorder="1" applyAlignment="1">
      <alignment/>
    </xf>
    <xf numFmtId="2" fontId="4" fillId="38" borderId="14" xfId="0" applyNumberFormat="1" applyFont="1" applyFill="1" applyBorder="1" applyAlignment="1">
      <alignment/>
    </xf>
    <xf numFmtId="2" fontId="4" fillId="38" borderId="14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4" fontId="3" fillId="37" borderId="16" xfId="0" applyNumberFormat="1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31" xfId="0" applyNumberFormat="1" applyFont="1" applyFill="1" applyBorder="1" applyAlignment="1">
      <alignment/>
    </xf>
    <xf numFmtId="4" fontId="3" fillId="34" borderId="29" xfId="0" applyNumberFormat="1" applyFont="1" applyFill="1" applyBorder="1" applyAlignment="1" applyProtection="1">
      <alignment/>
      <protection locked="0"/>
    </xf>
    <xf numFmtId="4" fontId="3" fillId="37" borderId="0" xfId="0" applyNumberFormat="1" applyFont="1" applyFill="1" applyBorder="1" applyAlignment="1">
      <alignment/>
    </xf>
    <xf numFmtId="4" fontId="3" fillId="37" borderId="11" xfId="0" applyNumberFormat="1" applyFont="1" applyFill="1" applyBorder="1" applyAlignment="1">
      <alignment/>
    </xf>
    <xf numFmtId="4" fontId="3" fillId="34" borderId="0" xfId="0" applyNumberFormat="1" applyFont="1" applyFill="1" applyBorder="1" applyAlignment="1" applyProtection="1">
      <alignment/>
      <protection locked="0"/>
    </xf>
    <xf numFmtId="4" fontId="3" fillId="33" borderId="13" xfId="0" applyNumberFormat="1" applyFont="1" applyFill="1" applyBorder="1" applyAlignment="1">
      <alignment/>
    </xf>
    <xf numFmtId="0" fontId="4" fillId="39" borderId="32" xfId="0" applyFont="1" applyFill="1" applyBorder="1" applyAlignment="1">
      <alignment/>
    </xf>
    <xf numFmtId="0" fontId="4" fillId="40" borderId="32" xfId="0" applyFont="1" applyFill="1" applyBorder="1" applyAlignment="1">
      <alignment/>
    </xf>
    <xf numFmtId="0" fontId="3" fillId="0" borderId="0" xfId="0" applyFont="1" applyAlignment="1" quotePrefix="1">
      <alignment/>
    </xf>
    <xf numFmtId="0" fontId="5" fillId="35" borderId="22" xfId="0" applyFont="1" applyFill="1" applyBorder="1" applyAlignment="1">
      <alignment horizontal="right"/>
    </xf>
    <xf numFmtId="0" fontId="3" fillId="0" borderId="30" xfId="0" applyFont="1" applyBorder="1" applyAlignment="1" quotePrefix="1">
      <alignment/>
    </xf>
    <xf numFmtId="4" fontId="4" fillId="34" borderId="11" xfId="0" applyNumberFormat="1" applyFont="1" applyFill="1" applyBorder="1" applyAlignment="1" applyProtection="1">
      <alignment/>
      <protection locked="0"/>
    </xf>
    <xf numFmtId="0" fontId="4" fillId="0" borderId="0" xfId="0" applyFont="1" applyAlignment="1" quotePrefix="1">
      <alignment horizontal="center"/>
    </xf>
    <xf numFmtId="0" fontId="7" fillId="35" borderId="33" xfId="58" applyFont="1" applyFill="1" applyBorder="1" applyAlignment="1">
      <alignment horizontal="right"/>
      <protection/>
    </xf>
    <xf numFmtId="0" fontId="7" fillId="35" borderId="34" xfId="58" applyFont="1" applyFill="1" applyBorder="1" applyAlignment="1">
      <alignment horizontal="right"/>
      <protection/>
    </xf>
    <xf numFmtId="4" fontId="6" fillId="34" borderId="35" xfId="58" applyNumberFormat="1" applyFill="1" applyBorder="1" applyProtection="1">
      <alignment/>
      <protection locked="0"/>
    </xf>
    <xf numFmtId="4" fontId="6" fillId="34" borderId="36" xfId="58" applyNumberFormat="1" applyFill="1" applyBorder="1" applyProtection="1">
      <alignment/>
      <protection locked="0"/>
    </xf>
    <xf numFmtId="176" fontId="6" fillId="34" borderId="37" xfId="61" applyNumberFormat="1" applyFont="1" applyFill="1" applyBorder="1" applyAlignment="1" applyProtection="1">
      <alignment/>
      <protection locked="0"/>
    </xf>
    <xf numFmtId="4" fontId="7" fillId="33" borderId="38" xfId="58" applyNumberFormat="1" applyFont="1" applyFill="1" applyBorder="1" applyProtection="1">
      <alignment/>
      <protection/>
    </xf>
    <xf numFmtId="4" fontId="6" fillId="33" borderId="38" xfId="58" applyNumberFormat="1" applyFont="1" applyFill="1" applyBorder="1" applyProtection="1">
      <alignment/>
      <protection/>
    </xf>
    <xf numFmtId="0" fontId="7" fillId="35" borderId="39" xfId="58" applyFont="1" applyFill="1" applyBorder="1" applyAlignment="1">
      <alignment horizontal="right"/>
      <protection/>
    </xf>
    <xf numFmtId="4" fontId="6" fillId="33" borderId="40" xfId="58" applyNumberFormat="1" applyFill="1" applyBorder="1" applyProtection="1">
      <alignment/>
      <protection/>
    </xf>
    <xf numFmtId="0" fontId="6" fillId="0" borderId="0" xfId="58" applyBorder="1">
      <alignment/>
      <protection/>
    </xf>
    <xf numFmtId="0" fontId="3" fillId="39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3" fillId="39" borderId="26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4" fillId="35" borderId="25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/>
      <protection locked="0"/>
    </xf>
    <xf numFmtId="2" fontId="3" fillId="33" borderId="0" xfId="0" applyNumberFormat="1" applyFont="1" applyFill="1" applyBorder="1" applyAlignment="1">
      <alignment/>
    </xf>
    <xf numFmtId="171" fontId="3" fillId="33" borderId="0" xfId="0" applyNumberFormat="1" applyFont="1" applyFill="1" applyBorder="1" applyAlignment="1">
      <alignment horizontal="center"/>
    </xf>
    <xf numFmtId="2" fontId="4" fillId="41" borderId="0" xfId="0" applyNumberFormat="1" applyFont="1" applyFill="1" applyBorder="1" applyAlignment="1">
      <alignment horizontal="center"/>
    </xf>
    <xf numFmtId="2" fontId="3" fillId="41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 applyProtection="1">
      <alignment horizontal="center"/>
      <protection locked="0"/>
    </xf>
    <xf numFmtId="2" fontId="4" fillId="36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41" borderId="11" xfId="0" applyNumberFormat="1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3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/>
    </xf>
    <xf numFmtId="2" fontId="3" fillId="34" borderId="0" xfId="0" applyNumberFormat="1" applyFont="1" applyFill="1" applyBorder="1" applyAlignment="1" applyProtection="1">
      <alignment horizontal="center"/>
      <protection locked="0"/>
    </xf>
    <xf numFmtId="0" fontId="4" fillId="35" borderId="26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14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8" xfId="0" applyFont="1" applyFill="1" applyBorder="1" applyAlignment="1">
      <alignment horizontal="right"/>
    </xf>
    <xf numFmtId="0" fontId="3" fillId="35" borderId="18" xfId="0" applyFont="1" applyFill="1" applyBorder="1" applyAlignment="1" quotePrefix="1">
      <alignment horizontal="right"/>
    </xf>
    <xf numFmtId="0" fontId="0" fillId="42" borderId="0" xfId="59" applyFill="1">
      <alignment/>
      <protection/>
    </xf>
    <xf numFmtId="0" fontId="0" fillId="42" borderId="0" xfId="59" applyFill="1" applyBorder="1" applyProtection="1">
      <alignment/>
      <protection/>
    </xf>
    <xf numFmtId="203" fontId="0" fillId="42" borderId="0" xfId="59" applyNumberFormat="1" applyFill="1">
      <alignment/>
      <protection/>
    </xf>
    <xf numFmtId="0" fontId="0" fillId="42" borderId="0" xfId="59" applyFill="1" applyBorder="1">
      <alignment/>
      <protection/>
    </xf>
    <xf numFmtId="203" fontId="0" fillId="42" borderId="0" xfId="59" applyNumberFormat="1" applyFill="1" applyBorder="1" applyProtection="1">
      <alignment/>
      <protection locked="0"/>
    </xf>
    <xf numFmtId="203" fontId="0" fillId="42" borderId="0" xfId="59" applyNumberFormat="1" applyFill="1" applyBorder="1" applyProtection="1">
      <alignment/>
      <protection/>
    </xf>
    <xf numFmtId="203" fontId="0" fillId="42" borderId="0" xfId="59" applyNumberFormat="1" applyFill="1" applyBorder="1">
      <alignment/>
      <protection/>
    </xf>
    <xf numFmtId="0" fontId="0" fillId="42" borderId="0" xfId="59" applyFill="1" applyBorder="1" applyProtection="1">
      <alignment/>
      <protection locked="0"/>
    </xf>
    <xf numFmtId="203" fontId="5" fillId="42" borderId="0" xfId="59" applyNumberFormat="1" applyFont="1" applyFill="1" applyBorder="1" applyProtection="1">
      <alignment/>
      <protection/>
    </xf>
    <xf numFmtId="203" fontId="5" fillId="42" borderId="0" xfId="59" applyNumberFormat="1" applyFont="1" applyFill="1" applyBorder="1">
      <alignment/>
      <protection/>
    </xf>
    <xf numFmtId="208" fontId="0" fillId="42" borderId="0" xfId="59" applyNumberFormat="1" applyFill="1" applyBorder="1" applyProtection="1">
      <alignment/>
      <protection/>
    </xf>
    <xf numFmtId="0" fontId="0" fillId="0" borderId="0" xfId="59">
      <alignment/>
      <protection/>
    </xf>
    <xf numFmtId="215" fontId="0" fillId="42" borderId="0" xfId="59" applyNumberFormat="1" applyFill="1">
      <alignment/>
      <protection/>
    </xf>
    <xf numFmtId="2" fontId="0" fillId="42" borderId="0" xfId="59" applyNumberFormat="1" applyFill="1">
      <alignment/>
      <protection/>
    </xf>
    <xf numFmtId="0" fontId="0" fillId="42" borderId="0" xfId="59" applyFont="1" applyFill="1" applyBorder="1">
      <alignment/>
      <protection/>
    </xf>
    <xf numFmtId="2" fontId="3" fillId="33" borderId="41" xfId="59" applyNumberFormat="1" applyFont="1" applyFill="1" applyBorder="1">
      <alignment/>
      <protection/>
    </xf>
    <xf numFmtId="0" fontId="0" fillId="0" borderId="0" xfId="59" applyFill="1" applyBorder="1">
      <alignment/>
      <protection/>
    </xf>
    <xf numFmtId="0" fontId="0" fillId="0" borderId="0" xfId="59" applyFill="1" applyBorder="1" applyProtection="1">
      <alignment/>
      <protection/>
    </xf>
    <xf numFmtId="4" fontId="0" fillId="0" borderId="0" xfId="59" applyNumberFormat="1" applyFill="1" applyBorder="1">
      <alignment/>
      <protection/>
    </xf>
    <xf numFmtId="0" fontId="0" fillId="0" borderId="0" xfId="59" applyFill="1">
      <alignment/>
      <protection/>
    </xf>
    <xf numFmtId="4" fontId="0" fillId="0" borderId="0" xfId="59" applyNumberFormat="1" applyFill="1" applyBorder="1" applyProtection="1">
      <alignment/>
      <protection/>
    </xf>
    <xf numFmtId="208" fontId="0" fillId="0" borderId="0" xfId="59" applyNumberFormat="1" applyFill="1" applyBorder="1" applyProtection="1">
      <alignment/>
      <protection/>
    </xf>
    <xf numFmtId="0" fontId="0" fillId="0" borderId="0" xfId="0" applyFill="1" applyAlignment="1">
      <alignment/>
    </xf>
    <xf numFmtId="215" fontId="3" fillId="34" borderId="42" xfId="59" applyNumberFormat="1" applyFont="1" applyFill="1" applyBorder="1" applyProtection="1">
      <alignment/>
      <protection locked="0"/>
    </xf>
    <xf numFmtId="0" fontId="3" fillId="34" borderId="43" xfId="59" applyFont="1" applyFill="1" applyBorder="1" applyProtection="1">
      <alignment/>
      <protection locked="0"/>
    </xf>
    <xf numFmtId="2" fontId="4" fillId="33" borderId="43" xfId="59" applyNumberFormat="1" applyFont="1" applyFill="1" applyBorder="1">
      <alignment/>
      <protection/>
    </xf>
    <xf numFmtId="2" fontId="3" fillId="33" borderId="44" xfId="59" applyNumberFormat="1" applyFont="1" applyFill="1" applyBorder="1">
      <alignment/>
      <protection/>
    </xf>
    <xf numFmtId="0" fontId="3" fillId="34" borderId="45" xfId="59" applyFont="1" applyFill="1" applyBorder="1" applyProtection="1">
      <alignment/>
      <protection locked="0"/>
    </xf>
    <xf numFmtId="0" fontId="3" fillId="35" borderId="46" xfId="59" applyFont="1" applyFill="1" applyBorder="1" applyProtection="1">
      <alignment/>
      <protection/>
    </xf>
    <xf numFmtId="215" fontId="3" fillId="34" borderId="47" xfId="59" applyNumberFormat="1" applyFont="1" applyFill="1" applyBorder="1" applyProtection="1">
      <alignment/>
      <protection locked="0"/>
    </xf>
    <xf numFmtId="0" fontId="3" fillId="35" borderId="48" xfId="59" applyFont="1" applyFill="1" applyBorder="1" applyProtection="1">
      <alignment/>
      <protection/>
    </xf>
    <xf numFmtId="10" fontId="3" fillId="34" borderId="45" xfId="59" applyNumberFormat="1" applyFont="1" applyFill="1" applyBorder="1" applyProtection="1">
      <alignment/>
      <protection locked="0"/>
    </xf>
    <xf numFmtId="0" fontId="4" fillId="35" borderId="49" xfId="59" applyFont="1" applyFill="1" applyBorder="1">
      <alignment/>
      <protection/>
    </xf>
    <xf numFmtId="0" fontId="4" fillId="35" borderId="48" xfId="59" applyFont="1" applyFill="1" applyBorder="1">
      <alignment/>
      <protection/>
    </xf>
    <xf numFmtId="0" fontId="4" fillId="35" borderId="50" xfId="59" applyFont="1" applyFill="1" applyBorder="1">
      <alignment/>
      <protection/>
    </xf>
    <xf numFmtId="0" fontId="3" fillId="38" borderId="27" xfId="59" applyFont="1" applyFill="1" applyBorder="1">
      <alignment/>
      <protection/>
    </xf>
    <xf numFmtId="0" fontId="3" fillId="38" borderId="25" xfId="59" applyFont="1" applyFill="1" applyBorder="1">
      <alignment/>
      <protection/>
    </xf>
    <xf numFmtId="0" fontId="3" fillId="38" borderId="26" xfId="59" applyFont="1" applyFill="1" applyBorder="1">
      <alignment/>
      <protection/>
    </xf>
    <xf numFmtId="2" fontId="3" fillId="38" borderId="21" xfId="59" applyNumberFormat="1" applyFont="1" applyFill="1" applyBorder="1">
      <alignment/>
      <protection/>
    </xf>
    <xf numFmtId="2" fontId="3" fillId="38" borderId="11" xfId="59" applyNumberFormat="1" applyFont="1" applyFill="1" applyBorder="1">
      <alignment/>
      <protection/>
    </xf>
    <xf numFmtId="2" fontId="3" fillId="38" borderId="14" xfId="59" applyNumberFormat="1" applyFont="1" applyFill="1" applyBorder="1">
      <alignment/>
      <protection/>
    </xf>
    <xf numFmtId="0" fontId="3" fillId="43" borderId="25" xfId="59" applyFont="1" applyFill="1" applyBorder="1">
      <alignment/>
      <protection/>
    </xf>
    <xf numFmtId="0" fontId="3" fillId="43" borderId="26" xfId="59" applyFont="1" applyFill="1" applyBorder="1">
      <alignment/>
      <protection/>
    </xf>
    <xf numFmtId="0" fontId="3" fillId="43" borderId="27" xfId="59" applyFont="1" applyFill="1" applyBorder="1">
      <alignment/>
      <protection/>
    </xf>
    <xf numFmtId="203" fontId="3" fillId="43" borderId="11" xfId="59" applyNumberFormat="1" applyFont="1" applyFill="1" applyBorder="1">
      <alignment/>
      <protection/>
    </xf>
    <xf numFmtId="203" fontId="3" fillId="43" borderId="14" xfId="59" applyNumberFormat="1" applyFont="1" applyFill="1" applyBorder="1">
      <alignment/>
      <protection/>
    </xf>
    <xf numFmtId="2" fontId="3" fillId="43" borderId="21" xfId="59" applyNumberFormat="1" applyFont="1" applyFill="1" applyBorder="1">
      <alignment/>
      <protection/>
    </xf>
    <xf numFmtId="2" fontId="3" fillId="43" borderId="11" xfId="59" applyNumberFormat="1" applyFont="1" applyFill="1" applyBorder="1">
      <alignment/>
      <protection/>
    </xf>
    <xf numFmtId="2" fontId="3" fillId="43" borderId="14" xfId="59" applyNumberFormat="1" applyFont="1" applyFill="1" applyBorder="1">
      <alignment/>
      <protection/>
    </xf>
    <xf numFmtId="0" fontId="3" fillId="43" borderId="51" xfId="59" applyFont="1" applyFill="1" applyBorder="1">
      <alignment/>
      <protection/>
    </xf>
    <xf numFmtId="0" fontId="3" fillId="43" borderId="15" xfId="59" applyFont="1" applyFill="1" applyBorder="1">
      <alignment/>
      <protection/>
    </xf>
    <xf numFmtId="2" fontId="4" fillId="38" borderId="11" xfId="59" applyNumberFormat="1" applyFont="1" applyFill="1" applyBorder="1">
      <alignment/>
      <protection/>
    </xf>
    <xf numFmtId="2" fontId="4" fillId="38" borderId="14" xfId="59" applyNumberFormat="1" applyFont="1" applyFill="1" applyBorder="1">
      <alignment/>
      <protection/>
    </xf>
    <xf numFmtId="2" fontId="4" fillId="43" borderId="11" xfId="59" applyNumberFormat="1" applyFont="1" applyFill="1" applyBorder="1">
      <alignment/>
      <protection/>
    </xf>
    <xf numFmtId="2" fontId="4" fillId="43" borderId="14" xfId="59" applyNumberFormat="1" applyFont="1" applyFill="1" applyBorder="1">
      <alignment/>
      <protection/>
    </xf>
    <xf numFmtId="203" fontId="4" fillId="43" borderId="11" xfId="59" applyNumberFormat="1" applyFont="1" applyFill="1" applyBorder="1">
      <alignment/>
      <protection/>
    </xf>
    <xf numFmtId="203" fontId="4" fillId="43" borderId="52" xfId="59" applyNumberFormat="1" applyFont="1" applyFill="1" applyBorder="1">
      <alignment/>
      <protection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2" fontId="3" fillId="34" borderId="43" xfId="59" applyNumberFormat="1" applyFont="1" applyFill="1" applyBorder="1" applyProtection="1">
      <alignment/>
      <protection locked="0"/>
    </xf>
    <xf numFmtId="0" fontId="4" fillId="35" borderId="55" xfId="59" applyFont="1" applyFill="1" applyBorder="1" applyProtection="1">
      <alignment/>
      <protection/>
    </xf>
    <xf numFmtId="0" fontId="5" fillId="0" borderId="0" xfId="0" applyFont="1" applyAlignment="1">
      <alignment/>
    </xf>
    <xf numFmtId="203" fontId="3" fillId="34" borderId="18" xfId="59" applyNumberFormat="1" applyFont="1" applyFill="1" applyBorder="1" applyProtection="1">
      <alignment/>
      <protection locked="0"/>
    </xf>
    <xf numFmtId="0" fontId="4" fillId="35" borderId="42" xfId="59" applyFont="1" applyFill="1" applyBorder="1">
      <alignment/>
      <protection/>
    </xf>
    <xf numFmtId="0" fontId="14" fillId="35" borderId="34" xfId="58" applyFont="1" applyFill="1" applyBorder="1" applyAlignment="1">
      <alignment horizontal="right"/>
      <protection/>
    </xf>
    <xf numFmtId="4" fontId="14" fillId="33" borderId="38" xfId="58" applyNumberFormat="1" applyFont="1" applyFill="1" applyBorder="1" applyProtection="1">
      <alignment/>
      <protection/>
    </xf>
    <xf numFmtId="0" fontId="7" fillId="0" borderId="0" xfId="58" applyFont="1" applyAlignment="1">
      <alignment horizontal="center"/>
      <protection/>
    </xf>
    <xf numFmtId="0" fontId="11" fillId="35" borderId="56" xfId="58" applyFont="1" applyFill="1" applyBorder="1" applyAlignment="1">
      <alignment horizontal="left"/>
      <protection/>
    </xf>
    <xf numFmtId="0" fontId="11" fillId="35" borderId="57" xfId="58" applyFont="1" applyFill="1" applyBorder="1" applyAlignment="1">
      <alignment horizontal="left"/>
      <protection/>
    </xf>
    <xf numFmtId="4" fontId="11" fillId="44" borderId="39" xfId="58" applyNumberFormat="1" applyFont="1" applyFill="1" applyBorder="1" applyAlignment="1" applyProtection="1">
      <alignment horizontal="left"/>
      <protection/>
    </xf>
    <xf numFmtId="4" fontId="11" fillId="44" borderId="40" xfId="58" applyNumberFormat="1" applyFont="1" applyFill="1" applyBorder="1" applyAlignment="1" applyProtection="1">
      <alignment horizontal="left"/>
      <protection/>
    </xf>
    <xf numFmtId="0" fontId="11" fillId="35" borderId="33" xfId="58" applyFont="1" applyFill="1" applyBorder="1" applyAlignment="1">
      <alignment horizontal="left"/>
      <protection/>
    </xf>
    <xf numFmtId="0" fontId="11" fillId="35" borderId="24" xfId="58" applyFont="1" applyFill="1" applyBorder="1" applyAlignment="1">
      <alignment horizontal="left"/>
      <protection/>
    </xf>
    <xf numFmtId="0" fontId="11" fillId="35" borderId="34" xfId="58" applyFont="1" applyFill="1" applyBorder="1" applyAlignment="1">
      <alignment horizontal="left"/>
      <protection/>
    </xf>
    <xf numFmtId="0" fontId="11" fillId="35" borderId="38" xfId="58" applyFont="1" applyFill="1" applyBorder="1" applyAlignment="1">
      <alignment horizontal="left"/>
      <protection/>
    </xf>
    <xf numFmtId="0" fontId="6" fillId="0" borderId="0" xfId="58" applyFont="1" applyAlignment="1">
      <alignment horizontal="center"/>
      <protection/>
    </xf>
    <xf numFmtId="4" fontId="13" fillId="44" borderId="39" xfId="58" applyNumberFormat="1" applyFont="1" applyFill="1" applyBorder="1" applyAlignment="1" applyProtection="1">
      <alignment horizontal="left"/>
      <protection/>
    </xf>
    <xf numFmtId="4" fontId="13" fillId="44" borderId="40" xfId="58" applyNumberFormat="1" applyFont="1" applyFill="1" applyBorder="1" applyAlignment="1" applyProtection="1">
      <alignment horizontal="left"/>
      <protection/>
    </xf>
    <xf numFmtId="0" fontId="19" fillId="45" borderId="0" xfId="53" applyFont="1" applyFill="1" applyAlignment="1" applyProtection="1">
      <alignment horizontal="center" vertical="center" wrapText="1"/>
      <protection/>
    </xf>
    <xf numFmtId="0" fontId="20" fillId="45" borderId="0" xfId="53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4" fontId="11" fillId="35" borderId="34" xfId="58" applyNumberFormat="1" applyFont="1" applyFill="1" applyBorder="1" applyAlignment="1" applyProtection="1">
      <alignment horizontal="left"/>
      <protection/>
    </xf>
    <xf numFmtId="4" fontId="11" fillId="35" borderId="38" xfId="58" applyNumberFormat="1" applyFont="1" applyFill="1" applyBorder="1" applyAlignment="1" applyProtection="1">
      <alignment horizontal="left"/>
      <protection/>
    </xf>
    <xf numFmtId="0" fontId="6" fillId="0" borderId="58" xfId="58" applyBorder="1" applyAlignment="1">
      <alignment horizontal="center"/>
      <protection/>
    </xf>
    <xf numFmtId="0" fontId="24" fillId="46" borderId="0" xfId="53" applyFont="1" applyFill="1" applyAlignment="1" applyProtection="1">
      <alignment horizontal="center" vertical="center"/>
      <protection/>
    </xf>
    <xf numFmtId="4" fontId="15" fillId="44" borderId="39" xfId="58" applyNumberFormat="1" applyFont="1" applyFill="1" applyBorder="1" applyAlignment="1" applyProtection="1">
      <alignment horizontal="left"/>
      <protection/>
    </xf>
    <xf numFmtId="4" fontId="15" fillId="44" borderId="40" xfId="58" applyNumberFormat="1" applyFont="1" applyFill="1" applyBorder="1" applyAlignment="1" applyProtection="1">
      <alignment horizontal="left"/>
      <protection/>
    </xf>
    <xf numFmtId="0" fontId="25" fillId="43" borderId="0" xfId="53" applyFont="1" applyFill="1" applyAlignment="1" applyProtection="1">
      <alignment horizontal="center" vertical="center"/>
      <protection/>
    </xf>
    <xf numFmtId="0" fontId="62" fillId="47" borderId="0" xfId="53" applyFont="1" applyFill="1" applyAlignment="1" applyProtection="1">
      <alignment horizontal="center" vertical="center"/>
      <protection/>
    </xf>
    <xf numFmtId="0" fontId="23" fillId="48" borderId="0" xfId="53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top" wrapText="1"/>
    </xf>
    <xf numFmtId="0" fontId="4" fillId="35" borderId="26" xfId="0" applyFont="1" applyFill="1" applyBorder="1" applyAlignment="1">
      <alignment horizontal="right"/>
    </xf>
    <xf numFmtId="0" fontId="4" fillId="35" borderId="14" xfId="0" applyFont="1" applyFill="1" applyBorder="1" applyAlignment="1">
      <alignment horizontal="right"/>
    </xf>
    <xf numFmtId="0" fontId="4" fillId="35" borderId="59" xfId="0" applyFont="1" applyFill="1" applyBorder="1" applyAlignment="1">
      <alignment horizontal="right"/>
    </xf>
    <xf numFmtId="0" fontId="4" fillId="35" borderId="28" xfId="0" applyFont="1" applyFill="1" applyBorder="1" applyAlignment="1">
      <alignment horizontal="right"/>
    </xf>
    <xf numFmtId="0" fontId="4" fillId="35" borderId="27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right"/>
    </xf>
    <xf numFmtId="0" fontId="4" fillId="35" borderId="59" xfId="0" applyFont="1" applyFill="1" applyBorder="1" applyAlignment="1">
      <alignment horizontal="right"/>
    </xf>
    <xf numFmtId="0" fontId="4" fillId="35" borderId="28" xfId="0" applyFont="1" applyFill="1" applyBorder="1" applyAlignment="1">
      <alignment horizontal="right"/>
    </xf>
    <xf numFmtId="0" fontId="4" fillId="35" borderId="25" xfId="0" applyFont="1" applyFill="1" applyBorder="1" applyAlignment="1">
      <alignment horizontal="right"/>
    </xf>
    <xf numFmtId="0" fontId="4" fillId="35" borderId="11" xfId="0" applyFont="1" applyFill="1" applyBorder="1" applyAlignment="1">
      <alignment horizontal="right"/>
    </xf>
    <xf numFmtId="0" fontId="4" fillId="38" borderId="27" xfId="0" applyFont="1" applyFill="1" applyBorder="1" applyAlignment="1">
      <alignment horizontal="right"/>
    </xf>
    <xf numFmtId="0" fontId="4" fillId="38" borderId="2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2" fillId="49" borderId="60" xfId="53" applyFont="1" applyFill="1" applyBorder="1" applyAlignment="1" applyProtection="1">
      <alignment horizontal="center" vertical="center"/>
      <protection/>
    </xf>
    <xf numFmtId="0" fontId="12" fillId="49" borderId="61" xfId="53" applyFont="1" applyFill="1" applyBorder="1" applyAlignment="1" applyProtection="1">
      <alignment horizontal="center" vertical="center"/>
      <protection/>
    </xf>
    <xf numFmtId="0" fontId="12" fillId="49" borderId="62" xfId="53" applyFont="1" applyFill="1" applyBorder="1" applyAlignment="1" applyProtection="1">
      <alignment horizontal="center" vertical="center"/>
      <protection/>
    </xf>
    <xf numFmtId="0" fontId="12" fillId="49" borderId="63" xfId="53" applyFont="1" applyFill="1" applyBorder="1" applyAlignment="1" applyProtection="1">
      <alignment horizontal="center" vertical="center"/>
      <protection/>
    </xf>
    <xf numFmtId="0" fontId="63" fillId="0" borderId="27" xfId="53" applyFont="1" applyBorder="1" applyAlignment="1" applyProtection="1">
      <alignment horizontal="center" vertical="center"/>
      <protection/>
    </xf>
    <xf numFmtId="0" fontId="63" fillId="0" borderId="21" xfId="53" applyFont="1" applyBorder="1" applyAlignment="1" applyProtection="1">
      <alignment horizontal="center" vertical="center"/>
      <protection/>
    </xf>
    <xf numFmtId="0" fontId="63" fillId="0" borderId="26" xfId="53" applyFont="1" applyBorder="1" applyAlignment="1" applyProtection="1">
      <alignment horizontal="center" vertical="center"/>
      <protection/>
    </xf>
    <xf numFmtId="0" fontId="63" fillId="0" borderId="14" xfId="53" applyFont="1" applyBorder="1" applyAlignment="1" applyProtection="1">
      <alignment horizontal="center" vertical="center"/>
      <protection/>
    </xf>
    <xf numFmtId="0" fontId="4" fillId="38" borderId="26" xfId="0" applyFont="1" applyFill="1" applyBorder="1" applyAlignment="1">
      <alignment horizontal="right"/>
    </xf>
    <xf numFmtId="0" fontId="4" fillId="38" borderId="14" xfId="0" applyFont="1" applyFill="1" applyBorder="1" applyAlignment="1">
      <alignment horizontal="right"/>
    </xf>
    <xf numFmtId="0" fontId="10" fillId="50" borderId="64" xfId="53" applyFont="1" applyFill="1" applyBorder="1" applyAlignment="1" applyProtection="1">
      <alignment horizontal="center" vertical="center"/>
      <protection/>
    </xf>
    <xf numFmtId="0" fontId="10" fillId="50" borderId="65" xfId="53" applyFont="1" applyFill="1" applyBorder="1" applyAlignment="1" applyProtection="1">
      <alignment horizontal="center" vertical="center"/>
      <protection/>
    </xf>
    <xf numFmtId="0" fontId="10" fillId="50" borderId="66" xfId="53" applyFont="1" applyFill="1" applyBorder="1" applyAlignment="1" applyProtection="1">
      <alignment horizontal="center" vertical="center"/>
      <protection/>
    </xf>
    <xf numFmtId="0" fontId="10" fillId="50" borderId="67" xfId="53" applyFont="1" applyFill="1" applyBorder="1" applyAlignment="1" applyProtection="1">
      <alignment horizontal="center" vertical="center"/>
      <protection/>
    </xf>
    <xf numFmtId="0" fontId="4" fillId="36" borderId="26" xfId="0" applyFont="1" applyFill="1" applyBorder="1" applyAlignment="1">
      <alignment horizontal="right"/>
    </xf>
    <xf numFmtId="0" fontId="4" fillId="36" borderId="14" xfId="0" applyFont="1" applyFill="1" applyBorder="1" applyAlignment="1">
      <alignment horizontal="right"/>
    </xf>
    <xf numFmtId="0" fontId="4" fillId="36" borderId="27" xfId="0" applyFont="1" applyFill="1" applyBorder="1" applyAlignment="1">
      <alignment horizontal="right"/>
    </xf>
    <xf numFmtId="0" fontId="4" fillId="36" borderId="21" xfId="0" applyFont="1" applyFill="1" applyBorder="1" applyAlignment="1">
      <alignment horizontal="right"/>
    </xf>
    <xf numFmtId="0" fontId="4" fillId="36" borderId="25" xfId="0" applyFont="1" applyFill="1" applyBorder="1" applyAlignment="1">
      <alignment horizontal="right"/>
    </xf>
    <xf numFmtId="0" fontId="4" fillId="36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35" borderId="32" xfId="0" applyFont="1" applyFill="1" applyBorder="1" applyAlignment="1">
      <alignment horizontal="right"/>
    </xf>
    <xf numFmtId="0" fontId="4" fillId="35" borderId="17" xfId="0" applyFont="1" applyFill="1" applyBorder="1" applyAlignment="1">
      <alignment horizontal="right"/>
    </xf>
    <xf numFmtId="0" fontId="4" fillId="51" borderId="32" xfId="0" applyFont="1" applyFill="1" applyBorder="1" applyAlignment="1">
      <alignment horizontal="center"/>
    </xf>
    <xf numFmtId="0" fontId="4" fillId="51" borderId="22" xfId="0" applyFont="1" applyFill="1" applyBorder="1" applyAlignment="1">
      <alignment horizontal="center"/>
    </xf>
    <xf numFmtId="0" fontId="4" fillId="51" borderId="17" xfId="0" applyFont="1" applyFill="1" applyBorder="1" applyAlignment="1">
      <alignment horizontal="center"/>
    </xf>
    <xf numFmtId="0" fontId="4" fillId="51" borderId="32" xfId="0" applyFont="1" applyFill="1" applyBorder="1" applyAlignment="1">
      <alignment horizontal="center"/>
    </xf>
    <xf numFmtId="0" fontId="4" fillId="51" borderId="17" xfId="0" applyFont="1" applyFill="1" applyBorder="1" applyAlignment="1">
      <alignment horizontal="center"/>
    </xf>
    <xf numFmtId="16" fontId="8" fillId="51" borderId="32" xfId="0" applyNumberFormat="1" applyFont="1" applyFill="1" applyBorder="1" applyAlignment="1">
      <alignment horizontal="center"/>
    </xf>
    <xf numFmtId="16" fontId="8" fillId="51" borderId="22" xfId="0" applyNumberFormat="1" applyFont="1" applyFill="1" applyBorder="1" applyAlignment="1">
      <alignment horizontal="center"/>
    </xf>
    <xf numFmtId="16" fontId="8" fillId="51" borderId="17" xfId="0" applyNumberFormat="1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4" fillId="52" borderId="32" xfId="0" applyNumberFormat="1" applyFont="1" applyFill="1" applyBorder="1" applyAlignment="1">
      <alignment horizontal="center"/>
    </xf>
    <xf numFmtId="2" fontId="4" fillId="52" borderId="17" xfId="0" applyNumberFormat="1" applyFont="1" applyFill="1" applyBorder="1" applyAlignment="1">
      <alignment horizontal="center"/>
    </xf>
    <xf numFmtId="0" fontId="4" fillId="35" borderId="32" xfId="0" applyFont="1" applyFill="1" applyBorder="1" applyAlignment="1">
      <alignment horizontal="right"/>
    </xf>
    <xf numFmtId="0" fontId="4" fillId="35" borderId="17" xfId="0" applyFont="1" applyFill="1" applyBorder="1" applyAlignment="1">
      <alignment horizontal="right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8" fillId="51" borderId="68" xfId="59" applyFont="1" applyFill="1" applyBorder="1" applyAlignment="1">
      <alignment horizontal="center"/>
      <protection/>
    </xf>
    <xf numFmtId="0" fontId="8" fillId="51" borderId="69" xfId="59" applyFont="1" applyFill="1" applyBorder="1" applyAlignment="1">
      <alignment horizontal="center"/>
      <protection/>
    </xf>
    <xf numFmtId="0" fontId="8" fillId="51" borderId="68" xfId="59" applyFont="1" applyFill="1" applyBorder="1" applyAlignment="1" applyProtection="1">
      <alignment horizontal="center"/>
      <protection/>
    </xf>
    <xf numFmtId="0" fontId="8" fillId="51" borderId="69" xfId="59" applyFont="1" applyFill="1" applyBorder="1" applyAlignment="1" applyProtection="1">
      <alignment horizontal="center"/>
      <protection/>
    </xf>
    <xf numFmtId="0" fontId="4" fillId="51" borderId="68" xfId="59" applyFont="1" applyFill="1" applyBorder="1" applyAlignment="1">
      <alignment horizontal="center"/>
      <protection/>
    </xf>
    <xf numFmtId="0" fontId="4" fillId="51" borderId="70" xfId="59" applyFont="1" applyFill="1" applyBorder="1" applyAlignment="1">
      <alignment horizontal="center"/>
      <protection/>
    </xf>
    <xf numFmtId="0" fontId="4" fillId="38" borderId="71" xfId="59" applyFont="1" applyFill="1" applyBorder="1" applyAlignment="1">
      <alignment horizontal="center" vertical="center" wrapText="1"/>
      <protection/>
    </xf>
    <xf numFmtId="0" fontId="4" fillId="38" borderId="21" xfId="59" applyFont="1" applyFill="1" applyBorder="1" applyAlignment="1">
      <alignment horizontal="center" vertical="center" wrapText="1"/>
      <protection/>
    </xf>
    <xf numFmtId="0" fontId="4" fillId="38" borderId="72" xfId="59" applyFont="1" applyFill="1" applyBorder="1" applyAlignment="1">
      <alignment horizontal="center" vertical="center" wrapText="1"/>
      <protection/>
    </xf>
    <xf numFmtId="0" fontId="4" fillId="38" borderId="11" xfId="59" applyFont="1" applyFill="1" applyBorder="1" applyAlignment="1">
      <alignment horizontal="center" vertical="center" wrapText="1"/>
      <protection/>
    </xf>
    <xf numFmtId="0" fontId="4" fillId="38" borderId="73" xfId="59" applyFont="1" applyFill="1" applyBorder="1" applyAlignment="1">
      <alignment horizontal="center" vertical="center" wrapText="1"/>
      <protection/>
    </xf>
    <xf numFmtId="0" fontId="4" fillId="38" borderId="14" xfId="59" applyFont="1" applyFill="1" applyBorder="1" applyAlignment="1">
      <alignment horizontal="center" vertical="center" wrapText="1"/>
      <protection/>
    </xf>
    <xf numFmtId="0" fontId="4" fillId="43" borderId="71" xfId="59" applyFont="1" applyFill="1" applyBorder="1" applyAlignment="1">
      <alignment horizontal="center" vertical="center" wrapText="1"/>
      <protection/>
    </xf>
    <xf numFmtId="0" fontId="4" fillId="43" borderId="21" xfId="59" applyFont="1" applyFill="1" applyBorder="1" applyAlignment="1">
      <alignment horizontal="center" vertical="center" wrapText="1"/>
      <protection/>
    </xf>
    <xf numFmtId="0" fontId="4" fillId="43" borderId="72" xfId="59" applyFont="1" applyFill="1" applyBorder="1" applyAlignment="1">
      <alignment horizontal="center" vertical="center" wrapText="1"/>
      <protection/>
    </xf>
    <xf numFmtId="0" fontId="4" fillId="43" borderId="11" xfId="59" applyFont="1" applyFill="1" applyBorder="1" applyAlignment="1">
      <alignment horizontal="center" vertical="center" wrapText="1"/>
      <protection/>
    </xf>
    <xf numFmtId="0" fontId="4" fillId="43" borderId="73" xfId="59" applyFont="1" applyFill="1" applyBorder="1" applyAlignment="1">
      <alignment horizontal="center" vertical="center" wrapText="1"/>
      <protection/>
    </xf>
    <xf numFmtId="0" fontId="4" fillId="43" borderId="14" xfId="59" applyFont="1" applyFill="1" applyBorder="1" applyAlignment="1">
      <alignment horizontal="center" vertical="center" wrapText="1"/>
      <protection/>
    </xf>
    <xf numFmtId="0" fontId="0" fillId="42" borderId="0" xfId="59" applyFont="1" applyFill="1" applyBorder="1" applyAlignment="1">
      <alignment horizontal="left"/>
      <protection/>
    </xf>
    <xf numFmtId="0" fontId="0" fillId="43" borderId="47" xfId="0" applyFill="1" applyBorder="1" applyAlignment="1">
      <alignment horizontal="left" vertical="center" wrapText="1"/>
    </xf>
    <xf numFmtId="0" fontId="0" fillId="43" borderId="43" xfId="0" applyFill="1" applyBorder="1" applyAlignment="1">
      <alignment horizontal="left" vertical="center" wrapText="1"/>
    </xf>
    <xf numFmtId="0" fontId="0" fillId="43" borderId="44" xfId="0" applyFill="1" applyBorder="1" applyAlignment="1">
      <alignment horizontal="left" vertical="center" wrapText="1"/>
    </xf>
    <xf numFmtId="0" fontId="4" fillId="43" borderId="74" xfId="59" applyFont="1" applyFill="1" applyBorder="1" applyAlignment="1">
      <alignment horizontal="center" vertical="center" wrapText="1"/>
      <protection/>
    </xf>
    <xf numFmtId="0" fontId="4" fillId="43" borderId="52" xfId="59" applyFont="1" applyFill="1" applyBorder="1" applyAlignment="1">
      <alignment horizontal="center" vertical="center" wrapText="1"/>
      <protection/>
    </xf>
    <xf numFmtId="0" fontId="0" fillId="0" borderId="0" xfId="59" applyFont="1" applyFill="1" applyBorder="1" applyAlignment="1">
      <alignment horizontal="left" wrapText="1"/>
      <protection/>
    </xf>
    <xf numFmtId="0" fontId="5" fillId="0" borderId="0" xfId="59" applyFont="1" applyFill="1" applyBorder="1" applyAlignment="1">
      <alignment horizontal="left" vertical="top" wrapText="1"/>
      <protection/>
    </xf>
    <xf numFmtId="0" fontId="0" fillId="38" borderId="47" xfId="0" applyFill="1" applyBorder="1" applyAlignment="1">
      <alignment horizontal="left" vertical="center" wrapText="1"/>
    </xf>
    <xf numFmtId="0" fontId="0" fillId="38" borderId="43" xfId="0" applyFill="1" applyBorder="1" applyAlignment="1">
      <alignment horizontal="left" vertical="center" wrapText="1"/>
    </xf>
    <xf numFmtId="0" fontId="0" fillId="38" borderId="45" xfId="0" applyFill="1" applyBorder="1" applyAlignment="1">
      <alignment horizontal="left" vertical="center" wrapText="1"/>
    </xf>
    <xf numFmtId="0" fontId="0" fillId="43" borderId="45" xfId="0" applyFill="1" applyBorder="1" applyAlignment="1">
      <alignment horizontal="left" vertical="center" wrapText="1"/>
    </xf>
    <xf numFmtId="0" fontId="7" fillId="35" borderId="75" xfId="58" applyFont="1" applyFill="1" applyBorder="1" applyAlignment="1">
      <alignment horizontal="right"/>
      <protection/>
    </xf>
    <xf numFmtId="0" fontId="7" fillId="35" borderId="76" xfId="58" applyFont="1" applyFill="1" applyBorder="1" applyAlignment="1">
      <alignment horizontal="right"/>
      <protection/>
    </xf>
    <xf numFmtId="4" fontId="6" fillId="34" borderId="77" xfId="58" applyNumberFormat="1" applyFill="1" applyBorder="1" applyProtection="1">
      <alignment/>
      <protection locked="0"/>
    </xf>
    <xf numFmtId="0" fontId="7" fillId="13" borderId="76" xfId="58" applyFont="1" applyFill="1" applyBorder="1" applyAlignment="1">
      <alignment horizontal="center" vertical="center"/>
      <protection/>
    </xf>
    <xf numFmtId="0" fontId="7" fillId="13" borderId="78" xfId="58" applyFont="1" applyFill="1" applyBorder="1" applyAlignment="1">
      <alignment horizontal="center" vertical="center"/>
      <protection/>
    </xf>
    <xf numFmtId="0" fontId="8" fillId="51" borderId="32" xfId="0" applyFont="1" applyFill="1" applyBorder="1" applyAlignment="1">
      <alignment horizontal="center" vertical="center"/>
    </xf>
    <xf numFmtId="0" fontId="8" fillId="51" borderId="22" xfId="0" applyFont="1" applyFill="1" applyBorder="1" applyAlignment="1">
      <alignment horizontal="center" vertical="center"/>
    </xf>
    <xf numFmtId="0" fontId="8" fillId="51" borderId="17" xfId="0" applyFont="1" applyFill="1" applyBorder="1" applyAlignment="1">
      <alignment horizontal="center" vertical="center"/>
    </xf>
    <xf numFmtId="0" fontId="7" fillId="35" borderId="76" xfId="58" applyFont="1" applyFill="1" applyBorder="1" applyAlignment="1">
      <alignment horizontal="right" vertical="center"/>
      <protection/>
    </xf>
    <xf numFmtId="4" fontId="6" fillId="34" borderId="77" xfId="58" applyNumberFormat="1" applyFill="1" applyBorder="1" applyAlignment="1" applyProtection="1">
      <alignment vertical="center"/>
      <protection locked="0"/>
    </xf>
    <xf numFmtId="0" fontId="7" fillId="35" borderId="75" xfId="58" applyFont="1" applyFill="1" applyBorder="1" applyAlignment="1">
      <alignment horizontal="right" vertical="center"/>
      <protection/>
    </xf>
    <xf numFmtId="4" fontId="7" fillId="33" borderId="38" xfId="58" applyNumberFormat="1" applyFont="1" applyFill="1" applyBorder="1" applyAlignment="1" applyProtection="1">
      <alignment vertical="center"/>
      <protection/>
    </xf>
    <xf numFmtId="0" fontId="9" fillId="51" borderId="39" xfId="58" applyFont="1" applyFill="1" applyBorder="1" applyAlignment="1">
      <alignment horizontal="center" vertical="center"/>
      <protection/>
    </xf>
    <xf numFmtId="0" fontId="9" fillId="51" borderId="79" xfId="58" applyFont="1" applyFill="1" applyBorder="1" applyAlignment="1">
      <alignment horizontal="center" vertical="center"/>
      <protection/>
    </xf>
    <xf numFmtId="0" fontId="9" fillId="51" borderId="40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matcher" xfId="58"/>
    <cellStyle name="Obično_Multimatcher lazza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er2+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MIR_PC\_Dokumenti\_Dokumenti\01%20-%20Bet\ML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MIR_PC\_Dokumenti\_Dokumenti\01%20-%20Bet\Book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BA%20-%20Sprea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L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MIR_PC\_Dokumenti\Documents%20and%20Settings\Administrator\My%20Documents\01%20-%20Bet\Booker2+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MIR_PC\_Dokumenti\Documents%20and%20Settings\Administrator\My%20Documents\01%20-%20Bet\NBA%20-%20Sprea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MIR_PC\_Dokumenti\Documents%20and%20Settings\Administrator\My%20Documents\01%20-%20Bet\ML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MIR_PC\_Dokumenti\_Dokumenti\01%20-%20Bet\Booker2+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MIR_PC\_Dokumenti\_Dokumenti\01%20-%20Bet\NBA%20-%20Spre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 - old"/>
      <sheetName val="Uplate"/>
      <sheetName val="Winner"/>
      <sheetName val="Looser"/>
      <sheetName val="HCP-old"/>
      <sheetName val="Print"/>
    </sheetNames>
    <sheetDataSet>
      <sheetData sheetId="1">
        <row r="272">
          <cell r="C272">
            <v>1765.5699999999997</v>
          </cell>
          <cell r="D272">
            <v>-8019.830000000002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2005"/>
      <sheetName val="2006"/>
      <sheetName val="+150"/>
      <sheetName val="Tablice"/>
      <sheetName val="Outright"/>
      <sheetName val="Serija"/>
      <sheetName val="ML-Home"/>
      <sheetName val="ML-Loose"/>
      <sheetName val="ML+"/>
      <sheetName val="team"/>
      <sheetName val="1. Inn"/>
      <sheetName val="O-E"/>
      <sheetName val="Looserbets"/>
      <sheetName val="O-U sys"/>
      <sheetName val="MLB-print"/>
      <sheetName val="mlb-ML"/>
      <sheetName val="mlb-ML+"/>
      <sheetName val="mlb-ML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ldo"/>
      <sheetName val="Izračun"/>
      <sheetName val="IF Refund"/>
      <sheetName val="Podaci"/>
      <sheetName val="Bookers"/>
      <sheetName val="Bonus"/>
      <sheetName val="Rollover"/>
      <sheetName val="Friends"/>
      <sheetName val="Notes"/>
      <sheetName val="Tenis"/>
      <sheetName val="Trumps"/>
      <sheetName val="NHL"/>
      <sheetName val="Bets"/>
      <sheetName val="Bookers - old"/>
      <sheetName val="Izračun-old"/>
      <sheetName val="sys"/>
      <sheetName val="Sistem"/>
    </sheetNames>
    <sheetDataSet>
      <sheetData sheetId="0">
        <row r="4">
          <cell r="A4">
            <v>7.268394</v>
          </cell>
        </row>
        <row r="6">
          <cell r="A6">
            <v>5.347946</v>
          </cell>
        </row>
        <row r="8">
          <cell r="A8">
            <v>8.042038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4-05"/>
      <sheetName val="sys3-2005"/>
      <sheetName val="1 PAR"/>
      <sheetName val="2 para"/>
      <sheetName val="3-3"/>
      <sheetName val="Looser 1 - HCP"/>
      <sheetName val="Looser 1 (2)"/>
      <sheetName val="SYS 1"/>
      <sheetName val="SYS 2"/>
      <sheetName val="SYS 6A-6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2005"/>
      <sheetName val="2006"/>
      <sheetName val="+150"/>
      <sheetName val="Tablice"/>
      <sheetName val="Outright"/>
      <sheetName val="Serija"/>
      <sheetName val="ML-Home"/>
      <sheetName val="ML-Loose"/>
      <sheetName val="ML+"/>
      <sheetName val="team"/>
      <sheetName val="1. Inn"/>
      <sheetName val="O-E"/>
      <sheetName val="Looserbets"/>
      <sheetName val="O-U sys"/>
      <sheetName val="MLB-print"/>
      <sheetName val="mlb-ML"/>
      <sheetName val="mlb-ML+"/>
      <sheetName val="mlb-ML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do"/>
      <sheetName val="Izračun"/>
      <sheetName val="Match"/>
      <sheetName val="Podaci"/>
      <sheetName val="Bookers"/>
      <sheetName val="Bonus"/>
      <sheetName val="Rollover"/>
      <sheetName val="Notes"/>
      <sheetName val="NHL"/>
      <sheetName val="WS"/>
      <sheetName val="Tenis"/>
      <sheetName val="Bets"/>
      <sheetName val="Bookers - old"/>
      <sheetName val="Izračun-old"/>
      <sheetName val="sys"/>
      <sheetName val="Sistem"/>
    </sheetNames>
    <sheetDataSet>
      <sheetData sheetId="0">
        <row r="4">
          <cell r="A4">
            <v>7.434389</v>
          </cell>
        </row>
        <row r="6">
          <cell r="A6">
            <v>5.747498</v>
          </cell>
        </row>
        <row r="8">
          <cell r="A8">
            <v>8.271461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do - old"/>
      <sheetName val="Uplate"/>
      <sheetName val="Winner"/>
      <sheetName val="Looser"/>
      <sheetName val="HCP-old"/>
      <sheetName val="Print"/>
    </sheetNames>
    <sheetDataSet>
      <sheetData sheetId="1">
        <row r="272">
          <cell r="C272">
            <v>1765.5699999999997</v>
          </cell>
          <cell r="D272">
            <v>-8019.830000000002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4-05"/>
      <sheetName val="sys3-2005"/>
      <sheetName val="1 PAR"/>
      <sheetName val="2 para"/>
      <sheetName val="3-3"/>
      <sheetName val="Looser 1 - HCP"/>
      <sheetName val="Looser 1 (2)"/>
      <sheetName val="SYS 1"/>
      <sheetName val="SYS 2"/>
      <sheetName val="SYS 6A-6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2005"/>
      <sheetName val="2006"/>
      <sheetName val="+150"/>
      <sheetName val="Tablice"/>
      <sheetName val="Outright"/>
      <sheetName val="Serija"/>
      <sheetName val="ML-Home"/>
      <sheetName val="ML-Loose"/>
      <sheetName val="ML+"/>
      <sheetName val="team"/>
      <sheetName val="1. Inn"/>
      <sheetName val="O-E"/>
      <sheetName val="Looserbets"/>
      <sheetName val="O-U sys"/>
      <sheetName val="MLB-print"/>
      <sheetName val="mlb-ML"/>
      <sheetName val="mlb-ML+"/>
      <sheetName val="mlb-ML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ldo - old"/>
      <sheetName val="Uplate"/>
      <sheetName val="Winner"/>
      <sheetName val="Looser"/>
      <sheetName val="HCP-old"/>
      <sheetName val="Print"/>
    </sheetNames>
    <sheetDataSet>
      <sheetData sheetId="1">
        <row r="272">
          <cell r="C272">
            <v>1765.5699999999997</v>
          </cell>
          <cell r="D272">
            <v>-8019.830000000002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4-05"/>
      <sheetName val="sys3-2005"/>
      <sheetName val="1 PAR"/>
      <sheetName val="2 para"/>
      <sheetName val="3-3"/>
      <sheetName val="Looser 1 - HCP"/>
      <sheetName val="Looser 1 (2)"/>
      <sheetName val="SYS 1"/>
      <sheetName val="SYS 2"/>
      <sheetName val="SYS 6A-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nusmajstori.com/uzmi/smarkets" TargetMode="External" /><Relationship Id="rId2" Type="http://schemas.openxmlformats.org/officeDocument/2006/relationships/hyperlink" Target="http://bonusmajstori.com/uzmi/matchbook" TargetMode="External" /><Relationship Id="rId3" Type="http://schemas.openxmlformats.org/officeDocument/2006/relationships/hyperlink" Target="http://bonusmajstori.com/link/betfair" TargetMode="External" /><Relationship Id="rId4" Type="http://schemas.openxmlformats.org/officeDocument/2006/relationships/hyperlink" Target="http://www.bonusmajstori.com/" TargetMode="External" /><Relationship Id="rId5" Type="http://schemas.openxmlformats.org/officeDocument/2006/relationships/hyperlink" Target="http://bonusmajstori.com/uzmi/smarkets" TargetMode="External" /><Relationship Id="rId6" Type="http://schemas.openxmlformats.org/officeDocument/2006/relationships/hyperlink" Target="http://bonusmajstori.com/uzmi/matchbook" TargetMode="External" /><Relationship Id="rId7" Type="http://schemas.openxmlformats.org/officeDocument/2006/relationships/hyperlink" Target="http://bonusmajstori.com/link/smarkets" TargetMode="External" /><Relationship Id="rId8" Type="http://schemas.openxmlformats.org/officeDocument/2006/relationships/hyperlink" Target="http://bonusmajstori.com/link/matchbook" TargetMode="External" /><Relationship Id="rId9" Type="http://schemas.openxmlformats.org/officeDocument/2006/relationships/hyperlink" Target="http://bonusmajstori.com/link/betdaq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usmajstori.com/link/pinnacle" TargetMode="External" /><Relationship Id="rId2" Type="http://schemas.openxmlformats.org/officeDocument/2006/relationships/hyperlink" Target="http://bonusmajstori.com/link/sbobet" TargetMode="External" /><Relationship Id="rId3" Type="http://schemas.openxmlformats.org/officeDocument/2006/relationships/hyperlink" Target="http://www.bonusmajstori.com/" TargetMode="External" /><Relationship Id="rId4" Type="http://schemas.openxmlformats.org/officeDocument/2006/relationships/hyperlink" Target="http://bonusmajstori.com/link/asianodds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usmajstori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usmajstori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usmajstori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H29"/>
  <sheetViews>
    <sheetView showGridLines="0" showRowColHeaders="0" tabSelected="1" defaultGridColor="0" zoomScalePageLayoutView="0" colorId="22" workbookViewId="0" topLeftCell="A1">
      <selection activeCell="B7" sqref="B7:E7"/>
    </sheetView>
  </sheetViews>
  <sheetFormatPr defaultColWidth="14.7109375" defaultRowHeight="12.75"/>
  <cols>
    <col min="1" max="1" width="1.7109375" style="15" customWidth="1"/>
    <col min="2" max="2" width="22.7109375" style="15" customWidth="1"/>
    <col min="3" max="3" width="11.7109375" style="15" customWidth="1"/>
    <col min="4" max="5" width="18.7109375" style="15" customWidth="1"/>
    <col min="6" max="6" width="3.7109375" style="15" customWidth="1"/>
    <col min="7" max="7" width="14.7109375" style="15" customWidth="1"/>
    <col min="8" max="8" width="10.7109375" style="15" customWidth="1"/>
    <col min="9" max="16384" width="14.7109375" style="15" customWidth="1"/>
  </cols>
  <sheetData>
    <row r="1" spans="2:5" ht="82.5" customHeight="1">
      <c r="B1" s="198" t="s">
        <v>184</v>
      </c>
      <c r="C1" s="199"/>
      <c r="D1" s="199"/>
      <c r="E1" s="199"/>
    </row>
    <row r="2" ht="6" customHeight="1"/>
    <row r="3" spans="2:5" ht="15.75">
      <c r="B3" s="186" t="s">
        <v>160</v>
      </c>
      <c r="C3" s="186"/>
      <c r="D3" s="186"/>
      <c r="E3" s="186"/>
    </row>
    <row r="4" spans="2:5" ht="15">
      <c r="B4" s="195" t="s">
        <v>170</v>
      </c>
      <c r="C4" s="195"/>
      <c r="D4" s="195"/>
      <c r="E4" s="195"/>
    </row>
    <row r="5" spans="2:7" ht="15.75">
      <c r="B5" s="195" t="s">
        <v>180</v>
      </c>
      <c r="C5" s="195"/>
      <c r="D5" s="195"/>
      <c r="E5" s="195"/>
      <c r="G5" s="15" t="s">
        <v>109</v>
      </c>
    </row>
    <row r="6" ht="6" customHeight="1"/>
    <row r="7" spans="2:8" ht="17.25" customHeight="1">
      <c r="B7" s="305" t="s">
        <v>106</v>
      </c>
      <c r="C7" s="306"/>
      <c r="D7" s="306"/>
      <c r="E7" s="307"/>
      <c r="G7" s="207" t="s">
        <v>103</v>
      </c>
      <c r="H7" s="207"/>
    </row>
    <row r="8" spans="2:8" ht="17.25" customHeight="1">
      <c r="B8" s="82" t="s">
        <v>60</v>
      </c>
      <c r="C8" s="84">
        <v>50</v>
      </c>
      <c r="D8" s="187" t="s">
        <v>102</v>
      </c>
      <c r="E8" s="188"/>
      <c r="G8" s="207"/>
      <c r="H8" s="207"/>
    </row>
    <row r="9" spans="2:7" ht="17.25" customHeight="1">
      <c r="B9" s="82" t="s">
        <v>100</v>
      </c>
      <c r="C9" s="85">
        <v>8</v>
      </c>
      <c r="D9" s="191" t="s">
        <v>101</v>
      </c>
      <c r="E9" s="192"/>
      <c r="G9"/>
    </row>
    <row r="10" spans="2:8" ht="17.25" customHeight="1">
      <c r="B10" s="82" t="s">
        <v>162</v>
      </c>
      <c r="C10" s="85">
        <v>7.8</v>
      </c>
      <c r="D10" s="191" t="s">
        <v>163</v>
      </c>
      <c r="E10" s="192"/>
      <c r="G10" s="208" t="s">
        <v>104</v>
      </c>
      <c r="H10" s="208"/>
    </row>
    <row r="11" spans="2:8" ht="17.25" customHeight="1">
      <c r="B11" s="83" t="s">
        <v>164</v>
      </c>
      <c r="C11" s="86">
        <v>5</v>
      </c>
      <c r="D11" s="193" t="s">
        <v>165</v>
      </c>
      <c r="E11" s="194"/>
      <c r="G11" s="208"/>
      <c r="H11" s="208"/>
    </row>
    <row r="12" spans="2:5" ht="17.25" customHeight="1">
      <c r="B12" s="89" t="s">
        <v>52</v>
      </c>
      <c r="C12" s="90">
        <f>C9*C8</f>
        <v>400</v>
      </c>
      <c r="D12" s="189" t="s">
        <v>166</v>
      </c>
      <c r="E12" s="190"/>
    </row>
    <row r="13" spans="2:8" ht="17.25" customHeight="1">
      <c r="B13" s="82" t="s">
        <v>10</v>
      </c>
      <c r="C13" s="39">
        <f>C12/(C10-C11/100)</f>
        <v>51.61290322580645</v>
      </c>
      <c r="D13" s="187" t="s">
        <v>168</v>
      </c>
      <c r="E13" s="188"/>
      <c r="G13" s="209" t="s">
        <v>108</v>
      </c>
      <c r="H13" s="209"/>
    </row>
    <row r="14" spans="2:8" ht="17.25" customHeight="1">
      <c r="B14" s="83" t="s">
        <v>189</v>
      </c>
      <c r="C14" s="87">
        <f>C13*(C10-1)</f>
        <v>350.96774193548384</v>
      </c>
      <c r="D14" s="201" t="s">
        <v>169</v>
      </c>
      <c r="E14" s="202"/>
      <c r="G14" s="209"/>
      <c r="H14" s="209"/>
    </row>
    <row r="15" spans="2:5" ht="17.25" customHeight="1">
      <c r="B15" s="83" t="s">
        <v>161</v>
      </c>
      <c r="C15" s="88">
        <f>(C13*(100-C11)/100)-C8</f>
        <v>-0.9677419354838719</v>
      </c>
      <c r="D15" s="189" t="s">
        <v>182</v>
      </c>
      <c r="E15" s="190"/>
    </row>
    <row r="16" spans="2:8" ht="17.25" customHeight="1">
      <c r="B16" s="184" t="s">
        <v>177</v>
      </c>
      <c r="C16" s="185">
        <f>C8+C15</f>
        <v>49.03225806451613</v>
      </c>
      <c r="D16" s="205" t="s">
        <v>181</v>
      </c>
      <c r="E16" s="206"/>
      <c r="G16" s="204" t="s">
        <v>107</v>
      </c>
      <c r="H16" s="204"/>
    </row>
    <row r="17" spans="2:8" ht="6" customHeight="1" thickBot="1">
      <c r="B17" s="203"/>
      <c r="C17" s="203"/>
      <c r="D17" s="203"/>
      <c r="E17" s="203"/>
      <c r="G17" s="204"/>
      <c r="H17" s="204"/>
    </row>
    <row r="18" spans="2:8" ht="6" customHeight="1">
      <c r="B18" s="91"/>
      <c r="C18" s="91"/>
      <c r="D18" s="91"/>
      <c r="E18" s="91"/>
      <c r="G18" s="204"/>
      <c r="H18" s="204"/>
    </row>
    <row r="19" spans="2:5" ht="15.75" customHeight="1">
      <c r="B19" s="200" t="s">
        <v>179</v>
      </c>
      <c r="C19" s="200"/>
      <c r="D19" s="200"/>
      <c r="E19" s="200"/>
    </row>
    <row r="20" ht="6" customHeight="1"/>
    <row r="21" spans="2:8" ht="18">
      <c r="B21" s="305" t="s">
        <v>54</v>
      </c>
      <c r="C21" s="306"/>
      <c r="D21" s="306"/>
      <c r="E21" s="307"/>
      <c r="G21" s="296" t="s">
        <v>194</v>
      </c>
      <c r="H21" s="297"/>
    </row>
    <row r="22" spans="2:8" ht="15.75">
      <c r="B22" s="82" t="s">
        <v>96</v>
      </c>
      <c r="C22" s="84">
        <v>50</v>
      </c>
      <c r="D22" s="187" t="s">
        <v>105</v>
      </c>
      <c r="E22" s="188"/>
      <c r="G22" s="301" t="s">
        <v>192</v>
      </c>
      <c r="H22" s="302">
        <v>2</v>
      </c>
    </row>
    <row r="23" spans="2:8" ht="15.75">
      <c r="B23" s="82" t="s">
        <v>100</v>
      </c>
      <c r="C23" s="85">
        <v>8</v>
      </c>
      <c r="D23" s="191" t="s">
        <v>101</v>
      </c>
      <c r="E23" s="192"/>
      <c r="G23" s="303" t="s">
        <v>193</v>
      </c>
      <c r="H23" s="304">
        <f>(H22*0.95)-((H22-1)*0.95)*0.1</f>
        <v>1.805</v>
      </c>
    </row>
    <row r="24" spans="2:5" ht="15.75">
      <c r="B24" s="82" t="s">
        <v>162</v>
      </c>
      <c r="C24" s="85">
        <v>7.8</v>
      </c>
      <c r="D24" s="191" t="s">
        <v>163</v>
      </c>
      <c r="E24" s="192"/>
    </row>
    <row r="25" spans="2:5" ht="15.75">
      <c r="B25" s="83" t="s">
        <v>164</v>
      </c>
      <c r="C25" s="86">
        <v>5</v>
      </c>
      <c r="D25" s="193" t="s">
        <v>165</v>
      </c>
      <c r="E25" s="194"/>
    </row>
    <row r="26" spans="2:5" ht="15.75">
      <c r="B26" s="89" t="s">
        <v>52</v>
      </c>
      <c r="C26" s="90">
        <f>(C23*C22)-C22</f>
        <v>350</v>
      </c>
      <c r="D26" s="189" t="s">
        <v>166</v>
      </c>
      <c r="E26" s="190"/>
    </row>
    <row r="27" spans="2:5" ht="15.75">
      <c r="B27" s="82" t="s">
        <v>10</v>
      </c>
      <c r="C27" s="39">
        <f>C26/(C24-C25/100)</f>
        <v>45.16129032258065</v>
      </c>
      <c r="D27" s="187" t="s">
        <v>168</v>
      </c>
      <c r="E27" s="188"/>
    </row>
    <row r="28" spans="2:5" ht="15.75">
      <c r="B28" s="83" t="s">
        <v>57</v>
      </c>
      <c r="C28" s="87">
        <f>C27*(C24-1)</f>
        <v>307.0967741935484</v>
      </c>
      <c r="D28" s="201" t="s">
        <v>169</v>
      </c>
      <c r="E28" s="202"/>
    </row>
    <row r="29" spans="2:5" ht="15.75">
      <c r="B29" s="83" t="s">
        <v>178</v>
      </c>
      <c r="C29" s="87">
        <f>C26-C28</f>
        <v>42.90322580645159</v>
      </c>
      <c r="D29" s="196" t="s">
        <v>167</v>
      </c>
      <c r="E29" s="197"/>
    </row>
  </sheetData>
  <sheetProtection password="80E3" sheet="1" objects="1" scenarios="1"/>
  <mergeCells count="30">
    <mergeCell ref="G16:H18"/>
    <mergeCell ref="G13:H14"/>
    <mergeCell ref="G10:H11"/>
    <mergeCell ref="G7:H8"/>
    <mergeCell ref="G21:H21"/>
    <mergeCell ref="D16:E16"/>
    <mergeCell ref="D14:E14"/>
    <mergeCell ref="D15:E15"/>
    <mergeCell ref="D9:E9"/>
    <mergeCell ref="D12:E12"/>
    <mergeCell ref="D13:E13"/>
    <mergeCell ref="D29:E29"/>
    <mergeCell ref="B1:E1"/>
    <mergeCell ref="B19:E19"/>
    <mergeCell ref="B21:E21"/>
    <mergeCell ref="D22:E22"/>
    <mergeCell ref="B4:E4"/>
    <mergeCell ref="D11:E11"/>
    <mergeCell ref="D27:E27"/>
    <mergeCell ref="D28:E28"/>
    <mergeCell ref="B17:E17"/>
    <mergeCell ref="B3:E3"/>
    <mergeCell ref="D8:E8"/>
    <mergeCell ref="D26:E26"/>
    <mergeCell ref="D23:E23"/>
    <mergeCell ref="D24:E24"/>
    <mergeCell ref="D25:E25"/>
    <mergeCell ref="B7:E7"/>
    <mergeCell ref="D10:E10"/>
    <mergeCell ref="B5:E5"/>
  </mergeCells>
  <hyperlinks>
    <hyperlink ref="G13" r:id="rId1" display="SMARKETS"/>
    <hyperlink ref="G16" r:id="rId2" display="MATCHBOOK"/>
    <hyperlink ref="G7:G8" r:id="rId3" display="betfair"/>
    <hyperlink ref="B1:E1" r:id="rId4" display="Bonus Majstori                                         jedino s nama do sigurne zarade na kladionici"/>
    <hyperlink ref="G12" r:id="rId5" display="SMARKETS"/>
    <hyperlink ref="G15" r:id="rId6" display="MATCHBOOK"/>
    <hyperlink ref="G13:G14" r:id="rId7" display="SMARKETS"/>
    <hyperlink ref="G16:G18" r:id="rId8" display="MATCHBOOK"/>
    <hyperlink ref="G10:G11" r:id="rId9" display="BETDAQ"/>
  </hyperlinks>
  <printOptions/>
  <pageMargins left="0.5" right="0.5" top="0.5" bottom="0.5" header="0.5" footer="0.5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9"/>
  <sheetViews>
    <sheetView showGridLines="0" showRowColHeaders="0" zoomScalePageLayoutView="0" workbookViewId="0" topLeftCell="A1">
      <selection activeCell="B6" sqref="B6:E6"/>
    </sheetView>
  </sheetViews>
  <sheetFormatPr defaultColWidth="13.7109375" defaultRowHeight="12.75"/>
  <cols>
    <col min="1" max="1" width="1.7109375" style="1" customWidth="1"/>
    <col min="2" max="2" width="20.00390625" style="1" customWidth="1"/>
    <col min="3" max="3" width="9.140625" style="1" customWidth="1"/>
    <col min="4" max="5" width="11.7109375" style="1" customWidth="1"/>
    <col min="6" max="6" width="4.7109375" style="1" customWidth="1"/>
    <col min="7" max="7" width="15.7109375" style="1" customWidth="1"/>
    <col min="8" max="8" width="11.7109375" style="1" customWidth="1"/>
    <col min="9" max="9" width="8.7109375" style="1" customWidth="1"/>
    <col min="10" max="16384" width="13.7109375" style="1" customWidth="1"/>
  </cols>
  <sheetData>
    <row r="1" spans="2:8" ht="82.5" customHeight="1">
      <c r="B1" s="198" t="s">
        <v>185</v>
      </c>
      <c r="C1" s="199"/>
      <c r="D1" s="199"/>
      <c r="E1" s="199"/>
      <c r="F1" s="199"/>
      <c r="G1" s="199"/>
      <c r="H1" s="199"/>
    </row>
    <row r="2" ht="6" customHeight="1"/>
    <row r="3" spans="2:8" ht="15.75">
      <c r="B3" s="200" t="s">
        <v>63</v>
      </c>
      <c r="C3" s="200"/>
      <c r="D3" s="200"/>
      <c r="E3" s="200"/>
      <c r="F3" s="200"/>
      <c r="G3" s="200"/>
      <c r="H3" s="200"/>
    </row>
    <row r="4" spans="2:8" ht="15">
      <c r="B4" s="223" t="s">
        <v>55</v>
      </c>
      <c r="C4" s="223"/>
      <c r="D4" s="223"/>
      <c r="E4" s="223"/>
      <c r="F4" s="223"/>
      <c r="G4" s="223"/>
      <c r="H4" s="223"/>
    </row>
    <row r="5" ht="6" customHeight="1"/>
    <row r="6" spans="2:8" ht="18">
      <c r="B6" s="298" t="s">
        <v>70</v>
      </c>
      <c r="C6" s="299"/>
      <c r="D6" s="299"/>
      <c r="E6" s="300"/>
      <c r="G6" s="52" t="s">
        <v>65</v>
      </c>
      <c r="H6" s="51"/>
    </row>
    <row r="7" spans="2:5" ht="15.75" customHeight="1" thickBot="1">
      <c r="B7" s="75"/>
      <c r="C7" s="57" t="s">
        <v>59</v>
      </c>
      <c r="D7" s="57" t="s">
        <v>60</v>
      </c>
      <c r="E7" s="57" t="s">
        <v>58</v>
      </c>
    </row>
    <row r="8" spans="2:8" ht="15.75" customHeight="1" thickTop="1">
      <c r="B8" s="58" t="s">
        <v>61</v>
      </c>
      <c r="C8" s="32">
        <v>1.5</v>
      </c>
      <c r="D8" s="44">
        <v>100</v>
      </c>
      <c r="E8" s="53">
        <f>D8</f>
        <v>100</v>
      </c>
      <c r="G8" s="224" t="s">
        <v>64</v>
      </c>
      <c r="H8" s="225"/>
    </row>
    <row r="9" spans="2:8" ht="16.5" thickBot="1">
      <c r="B9" s="59" t="s">
        <v>62</v>
      </c>
      <c r="C9" s="33">
        <v>2.9</v>
      </c>
      <c r="D9" s="45">
        <f>D10/C9</f>
        <v>51.724137931034484</v>
      </c>
      <c r="E9" s="46">
        <v>50</v>
      </c>
      <c r="G9" s="226"/>
      <c r="H9" s="227"/>
    </row>
    <row r="10" spans="2:5" ht="17.25" thickBot="1" thickTop="1">
      <c r="B10" s="215" t="s">
        <v>71</v>
      </c>
      <c r="C10" s="216"/>
      <c r="D10" s="5">
        <f>C8*D8</f>
        <v>150</v>
      </c>
      <c r="E10" s="8">
        <f>E9*C9</f>
        <v>145</v>
      </c>
    </row>
    <row r="11" spans="2:8" ht="16.5" thickTop="1">
      <c r="B11" s="217" t="s">
        <v>72</v>
      </c>
      <c r="C11" s="218"/>
      <c r="D11" s="48">
        <f>SUM(D8:D9)</f>
        <v>151.72413793103448</v>
      </c>
      <c r="E11" s="67">
        <f>D8+E9</f>
        <v>150</v>
      </c>
      <c r="G11" s="234" t="s">
        <v>190</v>
      </c>
      <c r="H11" s="235"/>
    </row>
    <row r="12" spans="2:8" ht="16.5" thickBot="1">
      <c r="B12" s="219" t="s">
        <v>74</v>
      </c>
      <c r="C12" s="220"/>
      <c r="D12" s="5">
        <f>D10-D11</f>
        <v>-1.7241379310344769</v>
      </c>
      <c r="E12" s="8">
        <f>D10-E11</f>
        <v>0</v>
      </c>
      <c r="G12" s="236"/>
      <c r="H12" s="237"/>
    </row>
    <row r="13" spans="2:5" ht="16.5" thickTop="1">
      <c r="B13" s="211" t="s">
        <v>75</v>
      </c>
      <c r="C13" s="212"/>
      <c r="D13" s="5">
        <f>D10-D11</f>
        <v>-1.7241379310344769</v>
      </c>
      <c r="E13" s="8">
        <f>E10-E11</f>
        <v>-5</v>
      </c>
    </row>
    <row r="14" spans="2:8" ht="15.75">
      <c r="B14" s="221" t="s">
        <v>76</v>
      </c>
      <c r="C14" s="222"/>
      <c r="D14" s="61">
        <f>D10-D8</f>
        <v>50</v>
      </c>
      <c r="E14" s="62">
        <f>D14</f>
        <v>50</v>
      </c>
      <c r="G14" s="228" t="s">
        <v>191</v>
      </c>
      <c r="H14" s="229"/>
    </row>
    <row r="15" spans="2:8" ht="15.75">
      <c r="B15" s="232" t="s">
        <v>77</v>
      </c>
      <c r="C15" s="233"/>
      <c r="D15" s="63">
        <f>D10-D9</f>
        <v>98.27586206896552</v>
      </c>
      <c r="E15" s="64">
        <f>E10-E9</f>
        <v>95</v>
      </c>
      <c r="G15" s="230"/>
      <c r="H15" s="231"/>
    </row>
    <row r="16" ht="6" customHeight="1"/>
    <row r="17" spans="2:8" ht="15" customHeight="1">
      <c r="B17" s="55" t="s">
        <v>66</v>
      </c>
      <c r="C17" s="54"/>
      <c r="D17" s="54"/>
      <c r="E17" s="54"/>
      <c r="F17" s="54"/>
      <c r="G17" s="54"/>
      <c r="H17" s="54"/>
    </row>
    <row r="18" spans="2:8" ht="15" customHeight="1">
      <c r="B18" s="55" t="s">
        <v>69</v>
      </c>
      <c r="C18" s="54"/>
      <c r="D18" s="54"/>
      <c r="E18" s="54"/>
      <c r="F18" s="54"/>
      <c r="G18" s="54"/>
      <c r="H18" s="54"/>
    </row>
    <row r="19" spans="2:8" ht="6" customHeight="1">
      <c r="B19" s="55"/>
      <c r="C19" s="54"/>
      <c r="D19" s="54"/>
      <c r="E19" s="54"/>
      <c r="F19" s="54"/>
      <c r="G19" s="54"/>
      <c r="H19" s="54"/>
    </row>
    <row r="20" spans="2:8" ht="15" customHeight="1">
      <c r="B20" s="55" t="s">
        <v>67</v>
      </c>
      <c r="C20" s="54"/>
      <c r="D20" s="54"/>
      <c r="E20" s="54"/>
      <c r="F20" s="54"/>
      <c r="G20" s="54"/>
      <c r="H20" s="54"/>
    </row>
    <row r="21" ht="15" customHeight="1">
      <c r="B21" s="56" t="s">
        <v>68</v>
      </c>
    </row>
    <row r="22" spans="2:8" ht="6" customHeight="1" thickBot="1">
      <c r="B22" s="65"/>
      <c r="C22" s="65"/>
      <c r="D22" s="65"/>
      <c r="E22" s="65"/>
      <c r="F22" s="65"/>
      <c r="G22" s="65"/>
      <c r="H22" s="65"/>
    </row>
    <row r="23" ht="6" customHeight="1"/>
    <row r="24" spans="2:8" ht="19.5" customHeight="1">
      <c r="B24" s="200" t="s">
        <v>176</v>
      </c>
      <c r="C24" s="200"/>
      <c r="D24" s="200"/>
      <c r="E24" s="200"/>
      <c r="F24" s="200"/>
      <c r="G24" s="200"/>
      <c r="H24" s="200"/>
    </row>
    <row r="25" ht="6" customHeight="1"/>
    <row r="26" spans="2:8" ht="21.75" customHeight="1">
      <c r="B26" s="298" t="s">
        <v>186</v>
      </c>
      <c r="C26" s="299"/>
      <c r="D26" s="299"/>
      <c r="E26" s="300"/>
      <c r="G26" s="296" t="s">
        <v>194</v>
      </c>
      <c r="H26" s="297"/>
    </row>
    <row r="27" spans="2:8" ht="15.75" customHeight="1">
      <c r="B27" s="75"/>
      <c r="C27" s="57" t="s">
        <v>59</v>
      </c>
      <c r="D27" s="60" t="s">
        <v>96</v>
      </c>
      <c r="E27" s="60" t="s">
        <v>58</v>
      </c>
      <c r="G27" s="294" t="s">
        <v>192</v>
      </c>
      <c r="H27" s="295">
        <v>2</v>
      </c>
    </row>
    <row r="28" spans="2:8" ht="15.75">
      <c r="B28" s="58" t="s">
        <v>48</v>
      </c>
      <c r="C28" s="32">
        <v>6</v>
      </c>
      <c r="D28" s="47">
        <v>100</v>
      </c>
      <c r="E28" s="66">
        <f>D28</f>
        <v>100</v>
      </c>
      <c r="G28" s="293" t="s">
        <v>193</v>
      </c>
      <c r="H28" s="87">
        <f>(H27*0.95)-((H27-1)*0.95)*0.1</f>
        <v>1.805</v>
      </c>
    </row>
    <row r="29" spans="2:5" ht="15.75">
      <c r="B29" s="59" t="s">
        <v>62</v>
      </c>
      <c r="C29" s="33">
        <v>1.165</v>
      </c>
      <c r="D29" s="45">
        <f>D30/C29</f>
        <v>429.18454935622316</v>
      </c>
      <c r="E29" s="70">
        <v>400</v>
      </c>
    </row>
    <row r="30" spans="2:5" ht="15.75">
      <c r="B30" s="213" t="s">
        <v>52</v>
      </c>
      <c r="C30" s="214"/>
      <c r="D30" s="68">
        <f>(C28-1)*D28</f>
        <v>500</v>
      </c>
      <c r="E30" s="69">
        <f>E29*C29</f>
        <v>466</v>
      </c>
    </row>
    <row r="31" spans="2:5" ht="15.75">
      <c r="B31" s="219" t="s">
        <v>73</v>
      </c>
      <c r="C31" s="220"/>
      <c r="D31" s="8">
        <f>D30-D29</f>
        <v>70.81545064377684</v>
      </c>
      <c r="E31" s="49">
        <f>D30-E29</f>
        <v>100</v>
      </c>
    </row>
    <row r="32" spans="2:5" ht="15.75">
      <c r="B32" s="211" t="s">
        <v>75</v>
      </c>
      <c r="C32" s="212"/>
      <c r="D32" s="10">
        <f>D30-D29</f>
        <v>70.81545064377684</v>
      </c>
      <c r="E32" s="50">
        <f>E30-E29</f>
        <v>66</v>
      </c>
    </row>
    <row r="33" spans="2:5" ht="9" customHeight="1">
      <c r="B33"/>
      <c r="C33"/>
      <c r="D33"/>
      <c r="E33"/>
    </row>
    <row r="34" ht="15.75">
      <c r="B34" s="1" t="s">
        <v>98</v>
      </c>
    </row>
    <row r="35" ht="6" customHeight="1"/>
    <row r="36" ht="15" customHeight="1">
      <c r="B36" s="1" t="s">
        <v>99</v>
      </c>
    </row>
    <row r="37" spans="2:10" ht="30" customHeight="1">
      <c r="B37" s="210" t="s">
        <v>175</v>
      </c>
      <c r="C37" s="210"/>
      <c r="D37" s="210"/>
      <c r="E37" s="210"/>
      <c r="F37" s="210"/>
      <c r="G37" s="210"/>
      <c r="H37" s="210"/>
      <c r="I37" s="210"/>
      <c r="J37" s="210"/>
    </row>
    <row r="38" ht="15">
      <c r="B38" s="14"/>
    </row>
    <row r="39" ht="15">
      <c r="B39" s="14"/>
    </row>
  </sheetData>
  <sheetProtection password="80E3" sheet="1" objects="1" scenarios="1"/>
  <mergeCells count="20">
    <mergeCell ref="G26:H26"/>
    <mergeCell ref="B3:H3"/>
    <mergeCell ref="B4:H4"/>
    <mergeCell ref="B24:H24"/>
    <mergeCell ref="G8:H9"/>
    <mergeCell ref="G14:H15"/>
    <mergeCell ref="B12:C12"/>
    <mergeCell ref="B13:C13"/>
    <mergeCell ref="B15:C15"/>
    <mergeCell ref="G11:H12"/>
    <mergeCell ref="B37:J37"/>
    <mergeCell ref="B1:H1"/>
    <mergeCell ref="B32:C32"/>
    <mergeCell ref="B30:C30"/>
    <mergeCell ref="B10:C10"/>
    <mergeCell ref="B11:C11"/>
    <mergeCell ref="B31:C31"/>
    <mergeCell ref="B14:C14"/>
    <mergeCell ref="B6:E6"/>
    <mergeCell ref="B26:E26"/>
  </mergeCells>
  <conditionalFormatting sqref="E28 E8">
    <cfRule type="expression" priority="1" dxfId="0" stopIfTrue="1">
      <formula>val1&lt;&gt;val2</formula>
    </cfRule>
  </conditionalFormatting>
  <conditionalFormatting sqref="D29 D9">
    <cfRule type="expression" priority="2" dxfId="0" stopIfTrue="1">
      <formula>#REF!&lt;&gt;#REF!</formula>
    </cfRule>
  </conditionalFormatting>
  <hyperlinks>
    <hyperlink ref="G8:H9" r:id="rId1" display="PINNACLE"/>
    <hyperlink ref="G11:H12" r:id="rId2" display="SBObet"/>
    <hyperlink ref="B1:H1" r:id="rId3" display="Bonus Majstori                                         jedino s nama do sigurne zarade na kladionici"/>
    <hyperlink ref="G14:H15" r:id="rId4" display="ASIANODDS"/>
  </hyperlinks>
  <printOptions/>
  <pageMargins left="0.17" right="0.29" top="0.18" bottom="0.15" header="0.17" footer="0.16"/>
  <pageSetup horizontalDpi="360" verticalDpi="360" orientation="landscape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8"/>
  <sheetViews>
    <sheetView showGridLines="0" showRowColHeaders="0" zoomScalePageLayoutView="0" workbookViewId="0" topLeftCell="A1">
      <selection activeCell="B6" sqref="B6:G6"/>
    </sheetView>
  </sheetViews>
  <sheetFormatPr defaultColWidth="13.7109375" defaultRowHeight="12.75"/>
  <cols>
    <col min="1" max="1" width="1.7109375" style="1" customWidth="1"/>
    <col min="2" max="2" width="20.00390625" style="1" customWidth="1"/>
    <col min="3" max="3" width="9.140625" style="1" customWidth="1"/>
    <col min="4" max="7" width="11.7109375" style="1" customWidth="1"/>
    <col min="8" max="8" width="14.7109375" style="1" customWidth="1"/>
    <col min="9" max="9" width="10.7109375" style="1" customWidth="1"/>
    <col min="10" max="16384" width="13.7109375" style="1" customWidth="1"/>
  </cols>
  <sheetData>
    <row r="1" spans="2:7" ht="82.5" customHeight="1">
      <c r="B1" s="198" t="s">
        <v>185</v>
      </c>
      <c r="C1" s="199"/>
      <c r="D1" s="199"/>
      <c r="E1" s="199"/>
      <c r="F1" s="199"/>
      <c r="G1" s="199"/>
    </row>
    <row r="2" ht="6" customHeight="1"/>
    <row r="3" spans="2:7" ht="15.75">
      <c r="B3" s="200" t="s">
        <v>78</v>
      </c>
      <c r="C3" s="200"/>
      <c r="D3" s="200"/>
      <c r="E3" s="200"/>
      <c r="F3" s="200"/>
      <c r="G3" s="200"/>
    </row>
    <row r="4" spans="2:7" ht="15">
      <c r="B4" s="244" t="s">
        <v>56</v>
      </c>
      <c r="C4" s="244"/>
      <c r="D4" s="244"/>
      <c r="E4" s="244"/>
      <c r="F4" s="244"/>
      <c r="G4" s="244"/>
    </row>
    <row r="5" ht="6" customHeight="1"/>
    <row r="6" spans="2:7" ht="18">
      <c r="B6" s="298" t="s">
        <v>187</v>
      </c>
      <c r="C6" s="299"/>
      <c r="D6" s="299"/>
      <c r="E6" s="299"/>
      <c r="F6" s="299"/>
      <c r="G6" s="300"/>
    </row>
    <row r="7" spans="2:7" ht="15" customHeight="1">
      <c r="B7" s="245" t="s">
        <v>47</v>
      </c>
      <c r="C7" s="246"/>
      <c r="D7" s="6">
        <v>100</v>
      </c>
      <c r="E7" s="78" t="s">
        <v>84</v>
      </c>
      <c r="F7" s="78" t="s">
        <v>85</v>
      </c>
      <c r="G7" s="57" t="s">
        <v>86</v>
      </c>
    </row>
    <row r="8" spans="2:7" ht="15" customHeight="1">
      <c r="B8" s="58" t="s">
        <v>49</v>
      </c>
      <c r="C8" s="32">
        <v>2</v>
      </c>
      <c r="D8" s="2">
        <f>IF(C8=0,0,$D$7/C8)</f>
        <v>50</v>
      </c>
      <c r="E8" s="73">
        <v>100</v>
      </c>
      <c r="F8" s="4">
        <f>(D8/D9)*F9</f>
        <v>175</v>
      </c>
      <c r="G8" s="3">
        <f>(D8/D10)*G10</f>
        <v>250</v>
      </c>
    </row>
    <row r="9" spans="2:7" ht="15" customHeight="1">
      <c r="B9" s="58" t="s">
        <v>50</v>
      </c>
      <c r="C9" s="32">
        <v>3.5</v>
      </c>
      <c r="D9" s="2">
        <f>IF(C9=0,0,$D$7/C9)</f>
        <v>28.571428571428573</v>
      </c>
      <c r="E9" s="4">
        <f>(D9/D8)*E8</f>
        <v>57.14285714285715</v>
      </c>
      <c r="F9" s="73">
        <v>100</v>
      </c>
      <c r="G9" s="3">
        <f>(D9/D10)*G10</f>
        <v>142.85714285714286</v>
      </c>
    </row>
    <row r="10" spans="2:7" ht="15" customHeight="1">
      <c r="B10" s="59" t="s">
        <v>51</v>
      </c>
      <c r="C10" s="33">
        <v>5</v>
      </c>
      <c r="D10" s="24">
        <f>IF(C10=0,0,$D$7/C10)</f>
        <v>20</v>
      </c>
      <c r="E10" s="23">
        <f>(D10/D8)*E8</f>
        <v>40</v>
      </c>
      <c r="F10" s="23">
        <f>(D10/D9)*F9</f>
        <v>70</v>
      </c>
      <c r="G10" s="46">
        <v>100</v>
      </c>
    </row>
    <row r="11" spans="2:7" ht="15" customHeight="1">
      <c r="B11" s="240" t="s">
        <v>52</v>
      </c>
      <c r="C11" s="241"/>
      <c r="D11" s="38">
        <f>D7</f>
        <v>100</v>
      </c>
      <c r="E11" s="34">
        <f>C8*E8</f>
        <v>200</v>
      </c>
      <c r="F11" s="34">
        <f>C9*F9</f>
        <v>350</v>
      </c>
      <c r="G11" s="35">
        <f>C9*G9</f>
        <v>500</v>
      </c>
    </row>
    <row r="12" spans="2:7" ht="15" customHeight="1">
      <c r="B12" s="242" t="s">
        <v>53</v>
      </c>
      <c r="C12" s="243"/>
      <c r="D12" s="25">
        <f>SUM(D8:D10)</f>
        <v>98.57142857142857</v>
      </c>
      <c r="E12" s="26">
        <f>SUM(E8:E10)</f>
        <v>197.14285714285717</v>
      </c>
      <c r="F12" s="26">
        <f>SUM(F8:F10)</f>
        <v>345</v>
      </c>
      <c r="G12" s="27">
        <f>SUM(G8:G10)</f>
        <v>492.8571428571429</v>
      </c>
    </row>
    <row r="13" spans="2:7" ht="15" customHeight="1">
      <c r="B13" s="242" t="s">
        <v>91</v>
      </c>
      <c r="C13" s="243"/>
      <c r="D13" s="28">
        <f>D7-D12</f>
        <v>1.4285714285714306</v>
      </c>
      <c r="E13" s="7">
        <f>E11-E12</f>
        <v>2.857142857142833</v>
      </c>
      <c r="F13" s="7">
        <f>F11-F12</f>
        <v>5</v>
      </c>
      <c r="G13" s="8">
        <f>G11-G12</f>
        <v>7.14285714285711</v>
      </c>
    </row>
    <row r="14" spans="2:7" ht="15" customHeight="1">
      <c r="B14" s="238" t="s">
        <v>92</v>
      </c>
      <c r="C14" s="239"/>
      <c r="D14" s="29">
        <f>(D7-D12)/D7</f>
        <v>0.014285714285714306</v>
      </c>
      <c r="E14" s="30">
        <f>(E11-E12)/E11</f>
        <v>0.014285714285714164</v>
      </c>
      <c r="F14" s="30">
        <f>(F11-F12)/F11</f>
        <v>0.014285714285714285</v>
      </c>
      <c r="G14" s="31">
        <f>(G11-G12)/G11</f>
        <v>0.014285714285714221</v>
      </c>
    </row>
    <row r="15" ht="6" customHeight="1"/>
    <row r="16" ht="15">
      <c r="B16" s="1" t="s">
        <v>87</v>
      </c>
    </row>
    <row r="17" ht="15">
      <c r="B17" s="77" t="s">
        <v>90</v>
      </c>
    </row>
    <row r="18" ht="6" customHeight="1"/>
    <row r="19" ht="15.75">
      <c r="B19" s="1" t="s">
        <v>89</v>
      </c>
    </row>
    <row r="20" ht="15">
      <c r="B20" s="77" t="s">
        <v>88</v>
      </c>
    </row>
    <row r="21" spans="2:8" ht="6" customHeight="1" thickBot="1">
      <c r="B21" s="79"/>
      <c r="C21" s="65"/>
      <c r="D21" s="65"/>
      <c r="E21" s="65"/>
      <c r="F21" s="65"/>
      <c r="G21" s="65"/>
      <c r="H21" s="65"/>
    </row>
    <row r="22" ht="6" customHeight="1">
      <c r="B22" s="77"/>
    </row>
    <row r="23" spans="2:7" ht="18" customHeight="1">
      <c r="B23" s="200" t="s">
        <v>159</v>
      </c>
      <c r="C23" s="200"/>
      <c r="D23" s="200"/>
      <c r="E23" s="200"/>
      <c r="F23" s="200"/>
      <c r="G23" s="81"/>
    </row>
    <row r="24" ht="6" customHeight="1">
      <c r="B24" s="77"/>
    </row>
    <row r="25" spans="2:9" ht="18">
      <c r="B25" s="298" t="s">
        <v>188</v>
      </c>
      <c r="C25" s="299"/>
      <c r="D25" s="299"/>
      <c r="E25" s="299"/>
      <c r="F25" s="300"/>
      <c r="H25" s="296" t="s">
        <v>194</v>
      </c>
      <c r="I25" s="297"/>
    </row>
    <row r="26" spans="2:9" ht="15.75">
      <c r="B26" s="76"/>
      <c r="C26" s="37" t="s">
        <v>59</v>
      </c>
      <c r="D26" s="40" t="s">
        <v>96</v>
      </c>
      <c r="E26" s="37" t="s">
        <v>58</v>
      </c>
      <c r="F26" s="40" t="s">
        <v>93</v>
      </c>
      <c r="H26" s="294" t="s">
        <v>192</v>
      </c>
      <c r="I26" s="295">
        <v>2</v>
      </c>
    </row>
    <row r="27" spans="2:9" ht="15.75">
      <c r="B27" s="43" t="s">
        <v>48</v>
      </c>
      <c r="C27" s="32">
        <v>6</v>
      </c>
      <c r="D27" s="80">
        <v>50</v>
      </c>
      <c r="E27" s="71">
        <f>D27</f>
        <v>50</v>
      </c>
      <c r="F27" s="72">
        <f>D27</f>
        <v>50</v>
      </c>
      <c r="H27" s="293" t="s">
        <v>193</v>
      </c>
      <c r="I27" s="87">
        <f>(I26*0.95)-((I26-1)*0.95)*0.1</f>
        <v>1.805</v>
      </c>
    </row>
    <row r="28" spans="2:6" ht="15.75">
      <c r="B28" s="41" t="s">
        <v>79</v>
      </c>
      <c r="C28" s="32">
        <v>3.85</v>
      </c>
      <c r="D28" s="3">
        <f>D30/C28</f>
        <v>64.93506493506493</v>
      </c>
      <c r="E28" s="73">
        <v>60</v>
      </c>
      <c r="F28" s="27">
        <f>F30/C28</f>
        <v>56.38961038961039</v>
      </c>
    </row>
    <row r="29" spans="2:6" ht="15.75">
      <c r="B29" s="42" t="s">
        <v>80</v>
      </c>
      <c r="C29" s="33">
        <v>1.67</v>
      </c>
      <c r="D29" s="3">
        <f>D30/C29</f>
        <v>149.7005988023952</v>
      </c>
      <c r="E29" s="74">
        <f>E30/C29</f>
        <v>138.3233532934132</v>
      </c>
      <c r="F29" s="46">
        <v>130</v>
      </c>
    </row>
    <row r="30" spans="2:6" ht="15.75">
      <c r="B30" s="240" t="s">
        <v>52</v>
      </c>
      <c r="C30" s="241"/>
      <c r="D30" s="35">
        <f>(C27-1)*D27</f>
        <v>250</v>
      </c>
      <c r="E30" s="34">
        <f>C28*E28</f>
        <v>231</v>
      </c>
      <c r="F30" s="35">
        <f>C29*F29</f>
        <v>217.1</v>
      </c>
    </row>
    <row r="31" spans="2:6" ht="15.75">
      <c r="B31" s="242" t="s">
        <v>81</v>
      </c>
      <c r="C31" s="243"/>
      <c r="D31" s="8">
        <f>D30-(D28+D29)</f>
        <v>35.364336262539865</v>
      </c>
      <c r="E31" s="7">
        <f>D30-(E28+E29)</f>
        <v>51.67664670658681</v>
      </c>
      <c r="F31" s="8">
        <f>D30-(F28+F29)</f>
        <v>63.6103896103896</v>
      </c>
    </row>
    <row r="32" spans="2:6" ht="15.75">
      <c r="B32" s="242" t="s">
        <v>82</v>
      </c>
      <c r="C32" s="243"/>
      <c r="D32" s="8">
        <f>D31</f>
        <v>35.364336262539865</v>
      </c>
      <c r="E32" s="7">
        <f>E30-(E28+E29)</f>
        <v>32.67664670658681</v>
      </c>
      <c r="F32" s="8">
        <f>F30-(F28+F29)</f>
        <v>30.710389610389598</v>
      </c>
    </row>
    <row r="33" spans="2:6" ht="15.75">
      <c r="B33" s="238" t="s">
        <v>83</v>
      </c>
      <c r="C33" s="239"/>
      <c r="D33" s="36">
        <f>D31</f>
        <v>35.364336262539865</v>
      </c>
      <c r="E33" s="9">
        <f>E32</f>
        <v>32.67664670658681</v>
      </c>
      <c r="F33" s="36">
        <f>F32</f>
        <v>30.710389610389598</v>
      </c>
    </row>
    <row r="34" ht="6" customHeight="1"/>
    <row r="35" ht="15">
      <c r="B35" s="1" t="s">
        <v>94</v>
      </c>
    </row>
    <row r="36" ht="15.75">
      <c r="B36" s="1" t="s">
        <v>97</v>
      </c>
    </row>
    <row r="37" ht="6" customHeight="1"/>
    <row r="38" ht="15">
      <c r="B38" s="1" t="s">
        <v>95</v>
      </c>
    </row>
  </sheetData>
  <sheetProtection password="80E3" sheet="1" objects="1" scenarios="1"/>
  <mergeCells count="16">
    <mergeCell ref="B14:C14"/>
    <mergeCell ref="B11:C11"/>
    <mergeCell ref="B6:G6"/>
    <mergeCell ref="B7:C7"/>
    <mergeCell ref="B12:C12"/>
    <mergeCell ref="H25:I25"/>
    <mergeCell ref="B33:C33"/>
    <mergeCell ref="B30:C30"/>
    <mergeCell ref="B25:F25"/>
    <mergeCell ref="B31:C31"/>
    <mergeCell ref="B32:C32"/>
    <mergeCell ref="B1:G1"/>
    <mergeCell ref="B3:G3"/>
    <mergeCell ref="B4:G4"/>
    <mergeCell ref="B23:F23"/>
    <mergeCell ref="B13:C13"/>
  </mergeCells>
  <hyperlinks>
    <hyperlink ref="B1:G1" r:id="rId1" display="Bonus Majstori                                         jedino s nama do sigurne zarade na kladionici"/>
  </hyperlinks>
  <printOptions/>
  <pageMargins left="0.17" right="0.29" top="0.18" bottom="0.15" header="0.17" footer="0.16"/>
  <pageSetup horizontalDpi="360" verticalDpi="36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1"/>
  <sheetViews>
    <sheetView showGridLines="0" showRowColHeaders="0" zoomScalePageLayoutView="0" workbookViewId="0" topLeftCell="A1">
      <selection activeCell="B9" sqref="B9:L9"/>
    </sheetView>
  </sheetViews>
  <sheetFormatPr defaultColWidth="13.7109375" defaultRowHeight="12.75"/>
  <cols>
    <col min="1" max="1" width="1.7109375" style="1" customWidth="1"/>
    <col min="2" max="2" width="14.8515625" style="1" customWidth="1"/>
    <col min="3" max="3" width="11.7109375" style="1" customWidth="1"/>
    <col min="4" max="4" width="8.57421875" style="1" customWidth="1"/>
    <col min="5" max="5" width="10.7109375" style="1" customWidth="1"/>
    <col min="6" max="6" width="12.140625" style="1" customWidth="1"/>
    <col min="7" max="7" width="11.7109375" style="1" customWidth="1"/>
    <col min="8" max="8" width="10.7109375" style="1" customWidth="1"/>
    <col min="9" max="13" width="11.7109375" style="1" customWidth="1"/>
    <col min="14" max="16384" width="13.7109375" style="1" customWidth="1"/>
  </cols>
  <sheetData>
    <row r="1" spans="2:8" ht="82.5" customHeight="1">
      <c r="B1" s="198" t="s">
        <v>185</v>
      </c>
      <c r="C1" s="198"/>
      <c r="D1" s="198"/>
      <c r="E1" s="198"/>
      <c r="F1" s="198"/>
      <c r="G1" s="198"/>
      <c r="H1" s="198"/>
    </row>
    <row r="2" ht="6" customHeight="1"/>
    <row r="3" ht="15">
      <c r="B3" s="1" t="s">
        <v>45</v>
      </c>
    </row>
    <row r="4" ht="15">
      <c r="B4" s="1" t="s">
        <v>46</v>
      </c>
    </row>
    <row r="5" ht="15">
      <c r="B5" s="1" t="s">
        <v>28</v>
      </c>
    </row>
    <row r="6" ht="15">
      <c r="B6" s="1" t="s">
        <v>27</v>
      </c>
    </row>
    <row r="7" ht="15">
      <c r="B7" s="1" t="s">
        <v>20</v>
      </c>
    </row>
    <row r="8" spans="2:12" ht="6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ht="18" customHeight="1">
      <c r="B9" s="252" t="s">
        <v>11</v>
      </c>
      <c r="C9" s="253"/>
      <c r="D9" s="253"/>
      <c r="E9" s="253"/>
      <c r="F9" s="253"/>
      <c r="G9" s="253"/>
      <c r="H9" s="253"/>
      <c r="I9" s="253"/>
      <c r="J9" s="253"/>
      <c r="K9" s="253"/>
      <c r="L9" s="254"/>
    </row>
    <row r="10" spans="2:12" ht="15">
      <c r="B10" s="95"/>
      <c r="C10" s="93" t="s">
        <v>19</v>
      </c>
      <c r="D10" s="94" t="s">
        <v>13</v>
      </c>
      <c r="E10" s="93" t="s">
        <v>17</v>
      </c>
      <c r="F10" s="93" t="s">
        <v>18</v>
      </c>
      <c r="G10" s="93" t="s">
        <v>23</v>
      </c>
      <c r="H10" s="93" t="s">
        <v>24</v>
      </c>
      <c r="I10" s="93" t="s">
        <v>22</v>
      </c>
      <c r="J10" s="93" t="s">
        <v>37</v>
      </c>
      <c r="K10" s="93" t="s">
        <v>36</v>
      </c>
      <c r="L10" s="96" t="s">
        <v>35</v>
      </c>
    </row>
    <row r="11" spans="2:12" ht="15.75">
      <c r="B11" s="97" t="s">
        <v>4</v>
      </c>
      <c r="C11" s="98">
        <v>1</v>
      </c>
      <c r="D11" s="99">
        <f>IF(C11="","",C11*C18)</f>
        <v>0</v>
      </c>
      <c r="E11" s="100">
        <f>IF(C11="","",C11)</f>
        <v>1</v>
      </c>
      <c r="F11" s="98"/>
      <c r="G11" s="101">
        <f aca="true" t="shared" si="0" ref="G11:G16">IF(F11="","",D11/F11)</f>
      </c>
      <c r="H11" s="102">
        <f>IF(F11="","",D11-(C18+G11))</f>
      </c>
      <c r="I11" s="103"/>
      <c r="J11" s="104">
        <f>IF(I11="","",SUM(C18,I11))</f>
      </c>
      <c r="K11" s="105">
        <f aca="true" t="shared" si="1" ref="K11:K16">IF(J11="","",D11-J11)</f>
      </c>
      <c r="L11" s="106">
        <f aca="true" t="shared" si="2" ref="L11:L16">IF(I11="","",(F11*I11)-J11)</f>
      </c>
    </row>
    <row r="12" spans="2:12" ht="15.75">
      <c r="B12" s="97" t="s">
        <v>5</v>
      </c>
      <c r="C12" s="98">
        <v>1</v>
      </c>
      <c r="D12" s="99">
        <f>IF(C12="","",PRODUCT(C$11:C12)*combo_ulog)</f>
        <v>0</v>
      </c>
      <c r="E12" s="100">
        <f>IF(I11="","",D12/J11)</f>
      </c>
      <c r="F12" s="98"/>
      <c r="G12" s="101">
        <f t="shared" si="0"/>
      </c>
      <c r="H12" s="102">
        <f>IF(F12="","",D12-(J11+G12))</f>
      </c>
      <c r="I12" s="103"/>
      <c r="J12" s="104">
        <f>IF(I12="","",SUM(J11,I12))</f>
      </c>
      <c r="K12" s="105">
        <f t="shared" si="1"/>
      </c>
      <c r="L12" s="106">
        <f t="shared" si="2"/>
      </c>
    </row>
    <row r="13" spans="2:12" ht="15.75">
      <c r="B13" s="97" t="s">
        <v>6</v>
      </c>
      <c r="C13" s="98">
        <v>1</v>
      </c>
      <c r="D13" s="99">
        <f>IF(C13="","",PRODUCT(C$11:C13)*combo_ulog)</f>
        <v>0</v>
      </c>
      <c r="E13" s="100">
        <f>IF(I12="","",D13/J12)</f>
      </c>
      <c r="F13" s="98"/>
      <c r="G13" s="101">
        <f t="shared" si="0"/>
      </c>
      <c r="H13" s="102">
        <f>IF(F13="","",D13-(J12+G13))</f>
      </c>
      <c r="I13" s="103"/>
      <c r="J13" s="104">
        <f>IF(I13="","",SUM(J12,I13))</f>
      </c>
      <c r="K13" s="105">
        <f t="shared" si="1"/>
      </c>
      <c r="L13" s="106">
        <f t="shared" si="2"/>
      </c>
    </row>
    <row r="14" spans="2:12" ht="15.75">
      <c r="B14" s="97" t="s">
        <v>14</v>
      </c>
      <c r="C14" s="98">
        <v>1</v>
      </c>
      <c r="D14" s="99">
        <f>IF(C14="","",PRODUCT(C$11:C14)*combo_ulog)</f>
        <v>0</v>
      </c>
      <c r="E14" s="100">
        <f>IF(I13="","",D14/J13)</f>
      </c>
      <c r="F14" s="98"/>
      <c r="G14" s="101">
        <f t="shared" si="0"/>
      </c>
      <c r="H14" s="102">
        <f>IF(F14="","",D14-(J13+G14))</f>
      </c>
      <c r="I14" s="103"/>
      <c r="J14" s="104">
        <f>IF(I14="","",SUM(J13,I14))</f>
      </c>
      <c r="K14" s="105">
        <f t="shared" si="1"/>
      </c>
      <c r="L14" s="106">
        <f t="shared" si="2"/>
      </c>
    </row>
    <row r="15" spans="2:12" ht="15.75">
      <c r="B15" s="97" t="s">
        <v>15</v>
      </c>
      <c r="C15" s="98">
        <v>1</v>
      </c>
      <c r="D15" s="99">
        <f>IF(C15="","",PRODUCT(C$11:C15)*combo_ulog)</f>
        <v>0</v>
      </c>
      <c r="E15" s="100">
        <f>IF(I14="","",D15/J14)</f>
      </c>
      <c r="F15" s="98"/>
      <c r="G15" s="101">
        <f t="shared" si="0"/>
      </c>
      <c r="H15" s="102">
        <f>IF(F15="","",D15-(J14+G15))</f>
      </c>
      <c r="I15" s="103"/>
      <c r="J15" s="104">
        <f>IF(I15="","",SUM(J14,I15))</f>
      </c>
      <c r="K15" s="105">
        <f t="shared" si="1"/>
      </c>
      <c r="L15" s="106">
        <f t="shared" si="2"/>
      </c>
    </row>
    <row r="16" spans="2:12" ht="15.75">
      <c r="B16" s="97" t="s">
        <v>16</v>
      </c>
      <c r="C16" s="98">
        <v>1</v>
      </c>
      <c r="D16" s="99">
        <f>IF(C16="","",PRODUCT(C$11:C16)*combo_ulog)</f>
        <v>0</v>
      </c>
      <c r="E16" s="100">
        <f>IF(I15="","",D16/J15)</f>
      </c>
      <c r="F16" s="98"/>
      <c r="G16" s="101">
        <f t="shared" si="0"/>
      </c>
      <c r="H16" s="102">
        <f>IF(F16="","",D16-(J15+G16))</f>
      </c>
      <c r="I16" s="103"/>
      <c r="J16" s="104">
        <f>IF(I16="","",SUM(J15,I16))</f>
      </c>
      <c r="K16" s="105">
        <f t="shared" si="1"/>
      </c>
      <c r="L16" s="106">
        <f t="shared" si="2"/>
      </c>
    </row>
    <row r="17" spans="2:12" ht="15.75">
      <c r="B17" s="97" t="s">
        <v>21</v>
      </c>
      <c r="C17" s="105">
        <f>PRODUCT(C11:C16)</f>
        <v>1</v>
      </c>
      <c r="D17" s="107"/>
      <c r="E17" s="108"/>
      <c r="F17" s="108"/>
      <c r="G17" s="109"/>
      <c r="H17" s="109"/>
      <c r="I17" s="108"/>
      <c r="J17" s="107"/>
      <c r="K17" s="107"/>
      <c r="L17" s="110"/>
    </row>
    <row r="18" spans="2:12" ht="15.75">
      <c r="B18" s="97" t="s">
        <v>12</v>
      </c>
      <c r="C18" s="111">
        <v>0</v>
      </c>
      <c r="D18" s="107"/>
      <c r="E18" s="108"/>
      <c r="F18" s="108"/>
      <c r="G18" s="109"/>
      <c r="H18" s="109"/>
      <c r="I18" s="108"/>
      <c r="J18" s="107"/>
      <c r="K18" s="107"/>
      <c r="L18" s="110"/>
    </row>
    <row r="19" spans="2:12" ht="15.75">
      <c r="B19" s="112" t="s">
        <v>29</v>
      </c>
      <c r="C19" s="113">
        <f>C17*C18</f>
        <v>0</v>
      </c>
      <c r="D19" s="92"/>
      <c r="E19" s="114"/>
      <c r="F19" s="114"/>
      <c r="G19" s="115"/>
      <c r="H19" s="115"/>
      <c r="I19" s="114"/>
      <c r="J19" s="92"/>
      <c r="K19" s="92"/>
      <c r="L19" s="116"/>
    </row>
    <row r="20" ht="6" customHeight="1"/>
    <row r="21" ht="15">
      <c r="B21" s="1" t="s">
        <v>30</v>
      </c>
    </row>
    <row r="22" ht="15.75">
      <c r="B22" s="1" t="s">
        <v>31</v>
      </c>
    </row>
    <row r="23" ht="15.75">
      <c r="B23" s="1" t="s">
        <v>174</v>
      </c>
    </row>
    <row r="24" ht="6" customHeight="1"/>
    <row r="25" spans="2:5" ht="15.75">
      <c r="B25" s="247" t="s">
        <v>26</v>
      </c>
      <c r="C25" s="248"/>
      <c r="D25" s="248"/>
      <c r="E25" s="249"/>
    </row>
    <row r="26" spans="2:6" ht="15.75">
      <c r="B26" s="259" t="s">
        <v>25</v>
      </c>
      <c r="C26" s="260"/>
      <c r="D26" s="261">
        <v>100</v>
      </c>
      <c r="E26" s="262"/>
      <c r="F26" s="14" t="s">
        <v>40</v>
      </c>
    </row>
    <row r="27" spans="2:6" ht="15">
      <c r="B27" s="11" t="s">
        <v>9</v>
      </c>
      <c r="C27" s="17">
        <v>1</v>
      </c>
      <c r="D27" s="255">
        <f>D26/(C27/C29)</f>
        <v>50</v>
      </c>
      <c r="E27" s="256"/>
      <c r="F27" s="14" t="s">
        <v>43</v>
      </c>
    </row>
    <row r="28" spans="2:6" ht="15">
      <c r="B28" s="12" t="s">
        <v>8</v>
      </c>
      <c r="C28" s="17">
        <v>1</v>
      </c>
      <c r="D28" s="255">
        <f>D26/(C28/C29)</f>
        <v>50</v>
      </c>
      <c r="E28" s="256"/>
      <c r="F28" s="14" t="s">
        <v>44</v>
      </c>
    </row>
    <row r="29" spans="2:5" ht="15.75">
      <c r="B29" s="117" t="s">
        <v>7</v>
      </c>
      <c r="C29" s="13">
        <f>1/((1/C27)+(1/C28))</f>
        <v>0.5</v>
      </c>
      <c r="D29" s="257"/>
      <c r="E29" s="258"/>
    </row>
    <row r="30" ht="12" customHeight="1"/>
    <row r="31" spans="2:3" ht="15.75">
      <c r="B31" s="250" t="s">
        <v>32</v>
      </c>
      <c r="C31" s="251"/>
    </row>
    <row r="32" spans="2:4" ht="15">
      <c r="B32" s="118" t="s">
        <v>33</v>
      </c>
      <c r="C32" s="19">
        <v>2.4</v>
      </c>
      <c r="D32" s="14" t="s">
        <v>171</v>
      </c>
    </row>
    <row r="33" spans="2:4" ht="15">
      <c r="B33" s="119" t="s">
        <v>41</v>
      </c>
      <c r="C33" s="18">
        <f>IF(C32="","",IF(C32&gt;2,100/((C32-1)*100)+1,((100/(C32-1))/100)+1))</f>
        <v>1.7142857142857144</v>
      </c>
      <c r="D33" s="14" t="s">
        <v>38</v>
      </c>
    </row>
    <row r="34" spans="2:9" ht="15">
      <c r="B34" s="118" t="s">
        <v>34</v>
      </c>
      <c r="C34" s="20">
        <v>5</v>
      </c>
      <c r="D34" s="14" t="s">
        <v>172</v>
      </c>
      <c r="I34" s="16"/>
    </row>
    <row r="35" spans="2:4" ht="15">
      <c r="B35" s="118" t="s">
        <v>42</v>
      </c>
      <c r="C35" s="18">
        <f>(C33-1)*((100-C34)/100)+1</f>
        <v>1.6785714285714288</v>
      </c>
      <c r="D35" s="14" t="s">
        <v>39</v>
      </c>
    </row>
    <row r="36" spans="2:4" ht="15">
      <c r="B36" s="118" t="s">
        <v>12</v>
      </c>
      <c r="C36" s="20">
        <v>100</v>
      </c>
      <c r="D36" s="14" t="s">
        <v>40</v>
      </c>
    </row>
    <row r="37" spans="2:4" ht="15.75">
      <c r="B37" s="118" t="s">
        <v>183</v>
      </c>
      <c r="C37" s="21">
        <f>C36/(C32-1)</f>
        <v>71.42857142857143</v>
      </c>
      <c r="D37" s="14" t="s">
        <v>173</v>
      </c>
    </row>
    <row r="39" spans="2:3" ht="15.75">
      <c r="B39" s="296" t="s">
        <v>194</v>
      </c>
      <c r="C39" s="297"/>
    </row>
    <row r="40" spans="2:3" ht="15.75">
      <c r="B40" s="294" t="s">
        <v>192</v>
      </c>
      <c r="C40" s="295">
        <v>2</v>
      </c>
    </row>
    <row r="41" spans="2:3" ht="15.75">
      <c r="B41" s="293" t="s">
        <v>193</v>
      </c>
      <c r="C41" s="87">
        <f>(C40*0.95)-((C40-1)*0.95)*0.1</f>
        <v>1.805</v>
      </c>
    </row>
  </sheetData>
  <sheetProtection password="80E3" sheet="1" objects="1" scenarios="1"/>
  <mergeCells count="10">
    <mergeCell ref="B39:C39"/>
    <mergeCell ref="B1:H1"/>
    <mergeCell ref="B25:E25"/>
    <mergeCell ref="B31:C31"/>
    <mergeCell ref="B9:L9"/>
    <mergeCell ref="D27:E27"/>
    <mergeCell ref="D28:E28"/>
    <mergeCell ref="D29:E29"/>
    <mergeCell ref="B26:C26"/>
    <mergeCell ref="D26:E26"/>
  </mergeCells>
  <hyperlinks>
    <hyperlink ref="B1:G1" r:id="rId1" display="Bonus Majstori                                         jedino s nama do sigurne zarade na kladionici"/>
  </hyperlinks>
  <printOptions/>
  <pageMargins left="0.17" right="0.29" top="0.18" bottom="0.15" header="0.17" footer="0.16"/>
  <pageSetup horizontalDpi="360" verticalDpi="36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U30"/>
  <sheetViews>
    <sheetView showGridLines="0" showRowColHeaders="0" zoomScalePageLayoutView="0" workbookViewId="0" topLeftCell="A1">
      <selection activeCell="B3" sqref="B3:C3"/>
    </sheetView>
  </sheetViews>
  <sheetFormatPr defaultColWidth="9.140625" defaultRowHeight="12.75"/>
  <cols>
    <col min="1" max="1" width="2.00390625" style="0" customWidth="1"/>
    <col min="2" max="2" width="25.7109375" style="0" customWidth="1"/>
    <col min="3" max="3" width="13.28125" style="0" customWidth="1"/>
    <col min="4" max="5" width="15.7109375" style="0" hidden="1" customWidth="1"/>
    <col min="6" max="6" width="10.00390625" style="0" hidden="1" customWidth="1"/>
    <col min="7" max="7" width="1.7109375" style="0" hidden="1" customWidth="1"/>
    <col min="8" max="8" width="12.8515625" style="0" hidden="1" customWidth="1"/>
    <col min="9" max="9" width="10.8515625" style="0" hidden="1" customWidth="1"/>
    <col min="10" max="10" width="2.7109375" style="0" hidden="1" customWidth="1"/>
    <col min="11" max="11" width="10.421875" style="0" hidden="1" customWidth="1"/>
    <col min="12" max="12" width="9.421875" style="0" hidden="1" customWidth="1"/>
    <col min="13" max="13" width="2.421875" style="0" hidden="1" customWidth="1"/>
    <col min="14" max="14" width="15.7109375" style="0" hidden="1" customWidth="1"/>
    <col min="15" max="15" width="0.2890625" style="0" customWidth="1"/>
    <col min="16" max="16" width="4.7109375" style="0" customWidth="1"/>
    <col min="18" max="18" width="16.140625" style="0" customWidth="1"/>
    <col min="19" max="19" width="16.00390625" style="0" customWidth="1"/>
    <col min="20" max="20" width="12.7109375" style="0" customWidth="1"/>
    <col min="21" max="21" width="39.57421875" style="0" customWidth="1"/>
  </cols>
  <sheetData>
    <row r="1" spans="2:19" ht="82.5" customHeight="1">
      <c r="B1" s="198" t="s">
        <v>185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ht="8.25" customHeight="1" thickBot="1">
      <c r="P2" s="142"/>
    </row>
    <row r="3" spans="2:21" ht="18">
      <c r="B3" s="263" t="s">
        <v>127</v>
      </c>
      <c r="C3" s="264"/>
      <c r="D3" s="121"/>
      <c r="E3" s="123"/>
      <c r="F3" s="123"/>
      <c r="G3" s="123"/>
      <c r="H3" s="124"/>
      <c r="I3" s="124"/>
      <c r="J3" s="120"/>
      <c r="K3" s="131"/>
      <c r="L3" s="131"/>
      <c r="M3" s="120"/>
      <c r="N3" s="120"/>
      <c r="O3" s="120"/>
      <c r="P3" s="139"/>
      <c r="Q3" s="267" t="s">
        <v>126</v>
      </c>
      <c r="R3" s="268"/>
      <c r="S3" s="183" t="s">
        <v>156</v>
      </c>
      <c r="T3" s="143">
        <v>3.2</v>
      </c>
      <c r="U3" s="177" t="s">
        <v>130</v>
      </c>
    </row>
    <row r="4" spans="2:21" ht="15.75" customHeight="1">
      <c r="B4" s="152" t="s">
        <v>60</v>
      </c>
      <c r="C4" s="179">
        <v>50</v>
      </c>
      <c r="D4" s="125">
        <f>IF(D5=0,C4,C4*D5)</f>
        <v>50</v>
      </c>
      <c r="E4" s="123" t="s">
        <v>113</v>
      </c>
      <c r="F4" s="126">
        <f>ROUND(D4*C5,2)</f>
        <v>250</v>
      </c>
      <c r="G4" s="126"/>
      <c r="H4" s="123" t="s">
        <v>125</v>
      </c>
      <c r="I4" s="120">
        <f>ROUND((D14-F10)/(L4-1),2)</f>
        <v>21.38</v>
      </c>
      <c r="J4" s="120"/>
      <c r="K4" s="120" t="s">
        <v>114</v>
      </c>
      <c r="L4" s="132">
        <f>T3</f>
        <v>3.2</v>
      </c>
      <c r="M4" s="120"/>
      <c r="N4" s="120" t="s">
        <v>117</v>
      </c>
      <c r="O4" s="120">
        <f>IF(I4&lt;2,2,IF(L5&lt;0,I4-0.01,I4))</f>
        <v>21.369999999999997</v>
      </c>
      <c r="P4" s="139"/>
      <c r="Q4" s="269" t="s">
        <v>128</v>
      </c>
      <c r="R4" s="270"/>
      <c r="S4" s="155" t="s">
        <v>10</v>
      </c>
      <c r="T4" s="158">
        <f>O4</f>
        <v>21.369999999999997</v>
      </c>
      <c r="U4" s="289" t="s">
        <v>138</v>
      </c>
    </row>
    <row r="5" spans="2:21" ht="15.75" customHeight="1">
      <c r="B5" s="152" t="s">
        <v>101</v>
      </c>
      <c r="C5" s="144">
        <v>5</v>
      </c>
      <c r="D5" s="121">
        <v>1</v>
      </c>
      <c r="E5" s="121" t="s">
        <v>124</v>
      </c>
      <c r="F5" s="125">
        <f>F4-C9</f>
        <v>47.05000000000001</v>
      </c>
      <c r="G5" s="125"/>
      <c r="H5" s="123" t="s">
        <v>115</v>
      </c>
      <c r="I5" s="120">
        <f>ROUND(I4*(L4-1),2)</f>
        <v>47.04</v>
      </c>
      <c r="J5" s="120"/>
      <c r="K5" s="120" t="s">
        <v>116</v>
      </c>
      <c r="L5" s="122">
        <f>ROUND(D14-F10-I5,2)</f>
        <v>-0.01</v>
      </c>
      <c r="M5" s="120"/>
      <c r="N5" s="120" t="s">
        <v>112</v>
      </c>
      <c r="O5" s="120">
        <f>ROUND(O4*(L4-1),2)</f>
        <v>47.01</v>
      </c>
      <c r="P5" s="139"/>
      <c r="Q5" s="271"/>
      <c r="R5" s="272"/>
      <c r="S5" s="156" t="s">
        <v>134</v>
      </c>
      <c r="T5" s="159">
        <f>O5</f>
        <v>47.01</v>
      </c>
      <c r="U5" s="290"/>
    </row>
    <row r="6" spans="2:21" ht="15" customHeight="1">
      <c r="B6" s="152" t="s">
        <v>156</v>
      </c>
      <c r="C6" s="144">
        <v>5.1</v>
      </c>
      <c r="D6" s="121"/>
      <c r="E6" s="121" t="s">
        <v>122</v>
      </c>
      <c r="F6" s="125">
        <f>D4-F5</f>
        <v>2.9499999999999886</v>
      </c>
      <c r="G6" s="125"/>
      <c r="H6" s="123" t="s">
        <v>123</v>
      </c>
      <c r="I6" s="120">
        <f>ROUND(I4*(100-C7)/100,2)</f>
        <v>20.31</v>
      </c>
      <c r="J6" s="120"/>
      <c r="K6" s="120" t="s">
        <v>0</v>
      </c>
      <c r="L6" s="133">
        <f>I6-F10</f>
        <v>17.34</v>
      </c>
      <c r="M6" s="120"/>
      <c r="N6" s="120" t="s">
        <v>111</v>
      </c>
      <c r="O6" s="120">
        <f>ROUND(O4*(100-C7)/100,2)</f>
        <v>20.3</v>
      </c>
      <c r="P6" s="139"/>
      <c r="Q6" s="271"/>
      <c r="R6" s="272"/>
      <c r="S6" s="157" t="s">
        <v>135</v>
      </c>
      <c r="T6" s="160">
        <f>C9+T4*(T3-1)</f>
        <v>249.964</v>
      </c>
      <c r="U6" s="290"/>
    </row>
    <row r="7" spans="2:21" ht="15" customHeight="1">
      <c r="B7" s="153" t="s">
        <v>157</v>
      </c>
      <c r="C7" s="147">
        <v>5</v>
      </c>
      <c r="D7" s="121"/>
      <c r="E7" s="121"/>
      <c r="F7" s="125"/>
      <c r="G7" s="121"/>
      <c r="H7" s="131"/>
      <c r="I7" s="131"/>
      <c r="J7" s="120"/>
      <c r="K7" s="120"/>
      <c r="L7" s="120"/>
      <c r="M7" s="120"/>
      <c r="N7" s="131"/>
      <c r="O7" s="131"/>
      <c r="P7" s="139"/>
      <c r="Q7" s="271"/>
      <c r="R7" s="272"/>
      <c r="S7" s="156" t="s">
        <v>131</v>
      </c>
      <c r="T7" s="171">
        <f>D14-O5-F10</f>
        <v>0.020000000000003126</v>
      </c>
      <c r="U7" s="290"/>
    </row>
    <row r="8" spans="2:21" ht="15" customHeight="1">
      <c r="B8" s="152" t="s">
        <v>10</v>
      </c>
      <c r="C8" s="145">
        <f>ROUND(F4/(C6-(C7/100)),2)</f>
        <v>49.5</v>
      </c>
      <c r="D8" s="121"/>
      <c r="E8" s="123" t="s">
        <v>123</v>
      </c>
      <c r="F8" s="126">
        <f>ROUND(C8*(100-C7)/100,2)</f>
        <v>47.03</v>
      </c>
      <c r="G8" s="127"/>
      <c r="H8" s="123" t="s">
        <v>125</v>
      </c>
      <c r="I8" s="120">
        <f>ROUND(D14/((100-C7)/100+L4-1),2)</f>
        <v>15.87</v>
      </c>
      <c r="J8" s="120"/>
      <c r="K8" s="120" t="s">
        <v>116</v>
      </c>
      <c r="L8" s="122">
        <f>ROUND(D14-F10-I9,2)</f>
        <v>12.12</v>
      </c>
      <c r="M8" s="120"/>
      <c r="N8" s="120" t="s">
        <v>117</v>
      </c>
      <c r="O8" s="120">
        <f>IF(I8&lt;2,2,I8)</f>
        <v>15.87</v>
      </c>
      <c r="P8" s="139"/>
      <c r="Q8" s="273"/>
      <c r="R8" s="274"/>
      <c r="S8" s="157" t="s">
        <v>132</v>
      </c>
      <c r="T8" s="172">
        <f>O6-F10</f>
        <v>17.330000000000002</v>
      </c>
      <c r="U8" s="291"/>
    </row>
    <row r="9" spans="2:21" ht="16.5" thickBot="1">
      <c r="B9" s="154" t="s">
        <v>133</v>
      </c>
      <c r="C9" s="146">
        <f>ROUND(C8*(C6-1),2)</f>
        <v>202.95</v>
      </c>
      <c r="E9" s="123" t="s">
        <v>118</v>
      </c>
      <c r="F9" s="126">
        <f>D4-F8</f>
        <v>2.969999999999999</v>
      </c>
      <c r="H9" s="123" t="s">
        <v>115</v>
      </c>
      <c r="I9" s="120">
        <f>ROUND(I8*(L4-1),2)</f>
        <v>34.91</v>
      </c>
      <c r="J9" s="120"/>
      <c r="K9" s="120" t="s">
        <v>120</v>
      </c>
      <c r="L9" s="133">
        <f>I10-F10</f>
        <v>12.110000000000001</v>
      </c>
      <c r="M9" s="120"/>
      <c r="N9" s="120" t="s">
        <v>112</v>
      </c>
      <c r="O9" s="120">
        <f>ROUND(O8*(L4-1),2)</f>
        <v>34.91</v>
      </c>
      <c r="P9" s="139"/>
      <c r="Q9" s="275" t="s">
        <v>158</v>
      </c>
      <c r="R9" s="276"/>
      <c r="S9" s="163" t="s">
        <v>10</v>
      </c>
      <c r="T9" s="166">
        <f>O8</f>
        <v>15.87</v>
      </c>
      <c r="U9" s="282" t="s">
        <v>139</v>
      </c>
    </row>
    <row r="10" spans="2:21" ht="15.75" thickBot="1">
      <c r="B10" s="131"/>
      <c r="C10" s="131"/>
      <c r="D10" s="121"/>
      <c r="E10" s="123" t="s">
        <v>119</v>
      </c>
      <c r="F10" s="126">
        <f>IF(F6&gt;F9,F6,F9)</f>
        <v>2.969999999999999</v>
      </c>
      <c r="G10" s="127"/>
      <c r="H10" s="123" t="s">
        <v>123</v>
      </c>
      <c r="I10" s="120">
        <f>ROUND(I8*(100-C7)/100,2)</f>
        <v>15.08</v>
      </c>
      <c r="J10" s="120"/>
      <c r="K10" s="120"/>
      <c r="L10" s="120"/>
      <c r="M10" s="120"/>
      <c r="N10" s="120" t="s">
        <v>111</v>
      </c>
      <c r="O10" s="120">
        <f>ROUND(O8*(100-C7)/100,2)</f>
        <v>15.08</v>
      </c>
      <c r="P10" s="139"/>
      <c r="Q10" s="277"/>
      <c r="R10" s="278"/>
      <c r="S10" s="161" t="s">
        <v>134</v>
      </c>
      <c r="T10" s="167">
        <f>O9</f>
        <v>34.91</v>
      </c>
      <c r="U10" s="283"/>
    </row>
    <row r="11" spans="2:21" ht="18">
      <c r="B11" s="265" t="s">
        <v>1</v>
      </c>
      <c r="C11" s="266"/>
      <c r="D11" s="128"/>
      <c r="E11" s="123" t="s">
        <v>121</v>
      </c>
      <c r="F11" s="126">
        <f>IF(F6&lt;F9,F6,F9)</f>
        <v>2.9499999999999886</v>
      </c>
      <c r="G11" s="129"/>
      <c r="H11" s="123"/>
      <c r="I11" s="120"/>
      <c r="J11" s="120"/>
      <c r="K11" s="120"/>
      <c r="L11" s="120"/>
      <c r="M11" s="120"/>
      <c r="N11" s="120"/>
      <c r="O11" s="120"/>
      <c r="P11" s="139"/>
      <c r="Q11" s="277"/>
      <c r="R11" s="278"/>
      <c r="S11" s="162" t="s">
        <v>135</v>
      </c>
      <c r="T11" s="168">
        <f>C9+T9*(T3-1)</f>
        <v>237.86399999999998</v>
      </c>
      <c r="U11" s="283"/>
    </row>
    <row r="12" spans="2:21" ht="15.75">
      <c r="B12" s="148" t="s">
        <v>148</v>
      </c>
      <c r="C12" s="149">
        <v>50</v>
      </c>
      <c r="D12" s="125"/>
      <c r="G12" s="126"/>
      <c r="H12" s="123" t="s">
        <v>125</v>
      </c>
      <c r="I12" s="120">
        <f>ROUND(F10*100/(100-C7),2)</f>
        <v>3.13</v>
      </c>
      <c r="J12" s="120"/>
      <c r="K12" s="120" t="s">
        <v>116</v>
      </c>
      <c r="L12" s="122">
        <f>ROUND(D14-F10-I13,2)</f>
        <v>40.14</v>
      </c>
      <c r="M12" s="120"/>
      <c r="N12" s="120" t="s">
        <v>117</v>
      </c>
      <c r="O12" s="120">
        <f>IF(I12&lt;2,2,I12)</f>
        <v>3.13</v>
      </c>
      <c r="P12" s="139"/>
      <c r="Q12" s="277"/>
      <c r="R12" s="278"/>
      <c r="S12" s="161" t="s">
        <v>131</v>
      </c>
      <c r="T12" s="173">
        <f>D14-O9-F10</f>
        <v>12.120000000000005</v>
      </c>
      <c r="U12" s="283"/>
    </row>
    <row r="13" spans="2:21" ht="15.75">
      <c r="B13" s="150" t="s">
        <v>3</v>
      </c>
      <c r="C13" s="151">
        <v>1</v>
      </c>
      <c r="D13" s="121"/>
      <c r="G13" s="126"/>
      <c r="H13" s="123" t="s">
        <v>115</v>
      </c>
      <c r="I13" s="120">
        <f>ROUND(I12*(L4-1),2)</f>
        <v>6.89</v>
      </c>
      <c r="J13" s="120"/>
      <c r="K13" s="120" t="s">
        <v>120</v>
      </c>
      <c r="L13" s="122">
        <f>ROUND(I14-F10,2)</f>
        <v>0</v>
      </c>
      <c r="M13" s="120"/>
      <c r="N13" s="120" t="s">
        <v>112</v>
      </c>
      <c r="O13" s="120">
        <f>ROUND(O12*(L4-1),2)</f>
        <v>6.89</v>
      </c>
      <c r="P13" s="139"/>
      <c r="Q13" s="279"/>
      <c r="R13" s="280"/>
      <c r="S13" s="162" t="s">
        <v>132</v>
      </c>
      <c r="T13" s="174">
        <f>O10-F10</f>
        <v>12.110000000000001</v>
      </c>
      <c r="U13" s="292"/>
    </row>
    <row r="14" spans="2:21" ht="15" customHeight="1" thickBot="1">
      <c r="B14" s="180" t="s">
        <v>2</v>
      </c>
      <c r="C14" s="135">
        <f>C12*C13</f>
        <v>50</v>
      </c>
      <c r="D14" s="125">
        <f>IF(D5=0,C14,D5*C14)</f>
        <v>50</v>
      </c>
      <c r="E14" s="123"/>
      <c r="F14" s="123"/>
      <c r="G14" s="126"/>
      <c r="H14" s="123" t="s">
        <v>123</v>
      </c>
      <c r="I14" s="123">
        <f>ROUND(I12*(100-C7)/100,2)</f>
        <v>2.97</v>
      </c>
      <c r="J14" s="123"/>
      <c r="K14" s="123"/>
      <c r="L14" s="123"/>
      <c r="M14" s="123"/>
      <c r="N14" s="123" t="s">
        <v>111</v>
      </c>
      <c r="O14" s="123">
        <f>ROUND(O12*(100-C7)/100,2)</f>
        <v>2.97</v>
      </c>
      <c r="P14" s="139"/>
      <c r="Q14" s="269" t="s">
        <v>129</v>
      </c>
      <c r="R14" s="270"/>
      <c r="S14" s="155" t="s">
        <v>10</v>
      </c>
      <c r="T14" s="158">
        <f>O12</f>
        <v>3.13</v>
      </c>
      <c r="U14" s="289" t="s">
        <v>140</v>
      </c>
    </row>
    <row r="15" spans="2:21" ht="15" customHeight="1">
      <c r="B15" s="131"/>
      <c r="C15" s="131"/>
      <c r="D15" s="131"/>
      <c r="E15" s="123"/>
      <c r="F15" s="123"/>
      <c r="G15" s="126"/>
      <c r="H15" s="123"/>
      <c r="I15" s="123"/>
      <c r="J15" s="123"/>
      <c r="K15" s="123"/>
      <c r="L15" s="123"/>
      <c r="M15" s="123"/>
      <c r="N15" s="131"/>
      <c r="O15" s="131"/>
      <c r="P15" s="139"/>
      <c r="Q15" s="271"/>
      <c r="R15" s="272"/>
      <c r="S15" s="156" t="s">
        <v>134</v>
      </c>
      <c r="T15" s="159">
        <f>O13</f>
        <v>6.89</v>
      </c>
      <c r="U15" s="290"/>
    </row>
    <row r="16" spans="2:21" ht="15" customHeight="1">
      <c r="B16" s="287" t="s">
        <v>142</v>
      </c>
      <c r="C16" s="287"/>
      <c r="D16" s="137"/>
      <c r="E16" s="123"/>
      <c r="F16" s="123"/>
      <c r="G16" s="126"/>
      <c r="H16" s="136"/>
      <c r="I16" s="136"/>
      <c r="J16" s="136"/>
      <c r="K16" s="136"/>
      <c r="L16" s="136"/>
      <c r="M16" s="136"/>
      <c r="N16" s="136" t="s">
        <v>110</v>
      </c>
      <c r="O16" s="139">
        <f>ROUND(T19*(L4-1),2)</f>
        <v>66</v>
      </c>
      <c r="P16" s="139"/>
      <c r="Q16" s="271"/>
      <c r="R16" s="272"/>
      <c r="S16" s="157" t="s">
        <v>135</v>
      </c>
      <c r="T16" s="160">
        <f>C9+T14*(T3-1)</f>
        <v>209.83599999999998</v>
      </c>
      <c r="U16" s="290"/>
    </row>
    <row r="17" spans="2:21" ht="15.75" customHeight="1">
      <c r="B17" s="287"/>
      <c r="C17" s="287"/>
      <c r="D17" s="137"/>
      <c r="E17" s="130"/>
      <c r="F17" s="130"/>
      <c r="G17" s="126"/>
      <c r="H17" s="136"/>
      <c r="I17" s="136"/>
      <c r="J17" s="136"/>
      <c r="K17" s="136"/>
      <c r="L17" s="136"/>
      <c r="M17" s="136"/>
      <c r="N17" s="139" t="s">
        <v>111</v>
      </c>
      <c r="O17" s="136">
        <f>ROUND(T19*(100-C7)/100,2)</f>
        <v>28.5</v>
      </c>
      <c r="P17" s="139"/>
      <c r="Q17" s="271"/>
      <c r="R17" s="272"/>
      <c r="S17" s="156" t="s">
        <v>131</v>
      </c>
      <c r="T17" s="171">
        <f>D14-O13-F10</f>
        <v>40.14</v>
      </c>
      <c r="U17" s="290"/>
    </row>
    <row r="18" spans="2:21" ht="15" customHeight="1">
      <c r="B18" s="287"/>
      <c r="C18" s="287"/>
      <c r="E18" s="123"/>
      <c r="F18" s="123"/>
      <c r="G18" s="123"/>
      <c r="P18" s="136"/>
      <c r="Q18" s="273"/>
      <c r="R18" s="274"/>
      <c r="S18" s="157" t="s">
        <v>132</v>
      </c>
      <c r="T18" s="172">
        <f>O14-F10</f>
        <v>0</v>
      </c>
      <c r="U18" s="291"/>
    </row>
    <row r="19" spans="5:21" ht="15" customHeight="1">
      <c r="E19" s="138"/>
      <c r="F19" s="138"/>
      <c r="G19" s="136"/>
      <c r="P19" s="136"/>
      <c r="Q19" s="275" t="s">
        <v>136</v>
      </c>
      <c r="R19" s="276"/>
      <c r="S19" s="170" t="s">
        <v>10</v>
      </c>
      <c r="T19" s="182">
        <v>30</v>
      </c>
      <c r="U19" s="178" t="s">
        <v>137</v>
      </c>
    </row>
    <row r="20" spans="2:21" ht="15" customHeight="1">
      <c r="B20" s="288" t="s">
        <v>144</v>
      </c>
      <c r="C20" s="288"/>
      <c r="E20" s="138"/>
      <c r="F20" s="138"/>
      <c r="G20" s="136"/>
      <c r="P20" s="136"/>
      <c r="Q20" s="277"/>
      <c r="R20" s="278"/>
      <c r="S20" s="161" t="s">
        <v>134</v>
      </c>
      <c r="T20" s="164">
        <f>O16</f>
        <v>66</v>
      </c>
      <c r="U20" s="282" t="s">
        <v>141</v>
      </c>
    </row>
    <row r="21" spans="2:21" ht="15">
      <c r="B21" s="288"/>
      <c r="C21" s="288"/>
      <c r="D21" s="140"/>
      <c r="E21" s="136"/>
      <c r="F21" s="136"/>
      <c r="G21" s="136"/>
      <c r="H21" s="136"/>
      <c r="I21" s="136"/>
      <c r="J21" s="136"/>
      <c r="K21" s="136"/>
      <c r="L21" s="136"/>
      <c r="M21" s="136"/>
      <c r="P21" s="139"/>
      <c r="Q21" s="277"/>
      <c r="R21" s="278"/>
      <c r="S21" s="162" t="s">
        <v>135</v>
      </c>
      <c r="T21" s="165">
        <f>C9+T19*(T3-1)</f>
        <v>268.95</v>
      </c>
      <c r="U21" s="283"/>
    </row>
    <row r="22" spans="2:21" ht="15.75">
      <c r="B22" s="288"/>
      <c r="C22" s="288"/>
      <c r="D22" s="137"/>
      <c r="E22" s="136"/>
      <c r="F22" s="136"/>
      <c r="G22" s="141"/>
      <c r="H22" s="136"/>
      <c r="I22" s="136"/>
      <c r="J22" s="136"/>
      <c r="K22" s="136"/>
      <c r="L22" s="136"/>
      <c r="M22" s="136"/>
      <c r="N22" s="136"/>
      <c r="O22" s="136"/>
      <c r="P22" s="136"/>
      <c r="Q22" s="277"/>
      <c r="R22" s="278"/>
      <c r="S22" s="161" t="s">
        <v>131</v>
      </c>
      <c r="T22" s="175">
        <f>D14-O16-F10</f>
        <v>-18.97</v>
      </c>
      <c r="U22" s="283"/>
    </row>
    <row r="23" spans="2:21" ht="15" customHeight="1" thickBot="1">
      <c r="B23" s="281" t="s">
        <v>143</v>
      </c>
      <c r="C23" s="281"/>
      <c r="D23" s="137"/>
      <c r="E23" s="136"/>
      <c r="F23" s="136"/>
      <c r="G23" s="136"/>
      <c r="H23" s="136"/>
      <c r="I23" s="138"/>
      <c r="J23" s="136"/>
      <c r="K23" s="136"/>
      <c r="L23" s="136"/>
      <c r="M23" s="136"/>
      <c r="N23" s="136"/>
      <c r="O23" s="136"/>
      <c r="P23" s="136"/>
      <c r="Q23" s="285"/>
      <c r="R23" s="286"/>
      <c r="S23" s="169" t="s">
        <v>132</v>
      </c>
      <c r="T23" s="176">
        <f>O17-F10</f>
        <v>25.53</v>
      </c>
      <c r="U23" s="284"/>
    </row>
    <row r="24" spans="2:16" ht="7.5" customHeight="1">
      <c r="B24" s="134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2:3" ht="12.75">
      <c r="B25" s="181" t="s">
        <v>145</v>
      </c>
      <c r="C25" t="s">
        <v>147</v>
      </c>
    </row>
    <row r="26" spans="2:3" ht="12.75">
      <c r="B26" s="181" t="s">
        <v>146</v>
      </c>
      <c r="C26" t="s">
        <v>152</v>
      </c>
    </row>
    <row r="27" spans="2:3" ht="12.75">
      <c r="B27" s="181" t="s">
        <v>148</v>
      </c>
      <c r="C27" t="s">
        <v>149</v>
      </c>
    </row>
    <row r="28" spans="2:3" ht="12.75">
      <c r="B28" s="181" t="s">
        <v>150</v>
      </c>
      <c r="C28" t="s">
        <v>151</v>
      </c>
    </row>
    <row r="29" spans="2:3" ht="12.75">
      <c r="B29" s="181" t="s">
        <v>153</v>
      </c>
      <c r="C29" t="s">
        <v>154</v>
      </c>
    </row>
    <row r="30" spans="2:3" ht="12.75">
      <c r="B30" s="181" t="s">
        <v>135</v>
      </c>
      <c r="C30" t="s">
        <v>155</v>
      </c>
    </row>
  </sheetData>
  <sheetProtection password="80E3" sheet="1" objects="1" scenarios="1"/>
  <mergeCells count="15">
    <mergeCell ref="U4:U8"/>
    <mergeCell ref="U9:U13"/>
    <mergeCell ref="U14:U18"/>
    <mergeCell ref="B23:C23"/>
    <mergeCell ref="U20:U23"/>
    <mergeCell ref="Q14:R18"/>
    <mergeCell ref="Q19:R23"/>
    <mergeCell ref="B16:C18"/>
    <mergeCell ref="B20:C22"/>
    <mergeCell ref="B3:C3"/>
    <mergeCell ref="B11:C11"/>
    <mergeCell ref="Q3:R3"/>
    <mergeCell ref="Q4:R8"/>
    <mergeCell ref="Q9:R13"/>
    <mergeCell ref="B1:S1"/>
  </mergeCells>
  <hyperlinks>
    <hyperlink ref="B1:G1" r:id="rId1" display="Bonus Majstori                                         jedino s nama do sigurne zarade na kladionici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Kladionice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XXL</dc:creator>
  <cp:keywords/>
  <dc:description/>
  <cp:lastModifiedBy>Damir</cp:lastModifiedBy>
  <dcterms:created xsi:type="dcterms:W3CDTF">2009-02-13T16:09:30Z</dcterms:created>
  <dcterms:modified xsi:type="dcterms:W3CDTF">2020-01-30T23:00:56Z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